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s\open data\data sets\Минфин\OneDrive-2020-01-08 (1)\34\"/>
    </mc:Choice>
  </mc:AlternateContent>
  <xr:revisionPtr revIDLastSave="0" documentId="13_ncr:1_{4F27E68B-358A-40CA-94DF-019D0B3B242D}" xr6:coauthVersionLast="45" xr6:coauthVersionMax="45" xr10:uidLastSave="{00000000-0000-0000-0000-000000000000}"/>
  <bookViews>
    <workbookView xWindow="-108" yWindow="-108" windowWidth="23256" windowHeight="12576" firstSheet="3" activeTab="3" xr2:uid="{00000000-000D-0000-FFFF-FFFF00000000}"/>
  </bookViews>
  <sheets>
    <sheet name="утвержд." sheetId="1" state="hidden" r:id="rId1"/>
    <sheet name="утвержд" sheetId="2" state="hidden" r:id="rId2"/>
    <sheet name="уточн.бс" sheetId="4" state="hidden" r:id="rId3"/>
    <sheet name="утвержденный 12" sheetId="9" r:id="rId4"/>
  </sheets>
  <definedNames>
    <definedName name="_xlnm.Print_Area" localSheetId="1">утвержд!$A$1:$AO$321</definedName>
    <definedName name="_xlnm.Print_Area" localSheetId="0">утвержд.!$A$1:$AL$299</definedName>
    <definedName name="_xlnm.Print_Area" localSheetId="3">'утвержденный 12'!$A$1:$C$203</definedName>
    <definedName name="_xlnm.Print_Area" localSheetId="2">уточн.бс!$A$1:$AN$332</definedName>
    <definedName name="_xlnm.Print_Titles" localSheetId="1">утвержд!$65:$65</definedName>
    <definedName name="_xlnm.Print_Titles" localSheetId="0">утвержд.!$61:$61</definedName>
    <definedName name="_xlnm.Print_Titles" localSheetId="3">'утвержденный 12'!$1:$1</definedName>
    <definedName name="_xlnm.Print_Titles" localSheetId="2">уточн.бс!$64:$64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0" i="9" l="1"/>
  <c r="C129" i="9" l="1"/>
  <c r="C115" i="9" l="1"/>
  <c r="C50" i="9" l="1"/>
  <c r="C172" i="9" l="1"/>
  <c r="C193" i="9"/>
  <c r="C190" i="9"/>
  <c r="C187" i="9"/>
  <c r="C168" i="9"/>
  <c r="C149" i="9"/>
  <c r="C148" i="9"/>
  <c r="C142" i="9"/>
  <c r="C122" i="9"/>
  <c r="C186" i="9" l="1"/>
  <c r="C211" i="9" l="1"/>
  <c r="C210" i="9" l="1"/>
  <c r="C209" i="9" s="1"/>
  <c r="AO169" i="2"/>
  <c r="AO168" i="2"/>
  <c r="AO129" i="2"/>
  <c r="AO113" i="2"/>
  <c r="AO104" i="2"/>
  <c r="AO78" i="2"/>
  <c r="AO77" i="2"/>
  <c r="AO23" i="2" l="1"/>
  <c r="AO38" i="2"/>
  <c r="AO40" i="2"/>
  <c r="AN40" i="2"/>
  <c r="AN32" i="2"/>
  <c r="AO164" i="2" l="1"/>
  <c r="AO103" i="2"/>
  <c r="AO175" i="2"/>
  <c r="AO281" i="2"/>
  <c r="AO280" i="2"/>
  <c r="AO278" i="2"/>
  <c r="AO277" i="2"/>
  <c r="AO276" i="2"/>
  <c r="AO274" i="2"/>
  <c r="AO273" i="2"/>
  <c r="AO272" i="2"/>
  <c r="AO271" i="2"/>
  <c r="AO270" i="2"/>
  <c r="AO269" i="2"/>
  <c r="AO266" i="2"/>
  <c r="AO265" i="2"/>
  <c r="AO264" i="2"/>
  <c r="AO263" i="2"/>
  <c r="AO262" i="2"/>
  <c r="AO261" i="2"/>
  <c r="AO260" i="2"/>
  <c r="AO259" i="2"/>
  <c r="AO258" i="2"/>
  <c r="AO257" i="2"/>
  <c r="AO254" i="2"/>
  <c r="AO256" i="2"/>
  <c r="AO255" i="2"/>
  <c r="AO253" i="2"/>
  <c r="AO252" i="2"/>
  <c r="AO251" i="2"/>
  <c r="AO250" i="2" l="1"/>
  <c r="AO249" i="2"/>
  <c r="AO248" i="2"/>
  <c r="AO247" i="2"/>
  <c r="AO246" i="2"/>
  <c r="AO245" i="2"/>
  <c r="AO244" i="2"/>
  <c r="AO243" i="2"/>
  <c r="AO242" i="2"/>
  <c r="AO240" i="2"/>
  <c r="AO239" i="2"/>
  <c r="AO238" i="2"/>
  <c r="AO237" i="2"/>
  <c r="AO236" i="2"/>
  <c r="AO235" i="2"/>
  <c r="AO234" i="2"/>
  <c r="AO233" i="2"/>
  <c r="AO232" i="2"/>
  <c r="AO230" i="2"/>
  <c r="AO229" i="2"/>
  <c r="AO228" i="2"/>
  <c r="AO227" i="2"/>
  <c r="AO226" i="2"/>
  <c r="AO225" i="2"/>
  <c r="AO224" i="2"/>
  <c r="AO223" i="2"/>
  <c r="AO222" i="2"/>
  <c r="AO220" i="2"/>
  <c r="AO219" i="2"/>
  <c r="AO218" i="2"/>
  <c r="AO217" i="2"/>
  <c r="AO216" i="2"/>
  <c r="AO215" i="2"/>
  <c r="AO214" i="2"/>
  <c r="AO213" i="2"/>
  <c r="AO212" i="2"/>
  <c r="AO211" i="2"/>
  <c r="AO210" i="2"/>
  <c r="AO208" i="2"/>
  <c r="AO207" i="2"/>
  <c r="AO206" i="2"/>
  <c r="AO205" i="2"/>
  <c r="AO204" i="2"/>
  <c r="AO203" i="2"/>
  <c r="AO202" i="2"/>
  <c r="AO201" i="2"/>
  <c r="AO200" i="2"/>
  <c r="AO199" i="2"/>
  <c r="AO198" i="2"/>
  <c r="AO197" i="2"/>
  <c r="AO196" i="2"/>
  <c r="AO195" i="2"/>
  <c r="AO194" i="2"/>
  <c r="AO192" i="2"/>
  <c r="AO191" i="2"/>
  <c r="AO190" i="2"/>
  <c r="AO189" i="2"/>
  <c r="AO188" i="2"/>
  <c r="AO187" i="2"/>
  <c r="AO186" i="2"/>
  <c r="AO184" i="2"/>
  <c r="AO183" i="2"/>
  <c r="AO181" i="2" l="1"/>
  <c r="AO180" i="2"/>
  <c r="AO179" i="2"/>
  <c r="AO178" i="2"/>
  <c r="AO177" i="2"/>
  <c r="AO176" i="2"/>
  <c r="AO174" i="2"/>
  <c r="AO173" i="2"/>
  <c r="AO172" i="2"/>
  <c r="AO171" i="2"/>
  <c r="AO170" i="2"/>
  <c r="AO161" i="2"/>
  <c r="AO160" i="2"/>
  <c r="AO163" i="2"/>
  <c r="AO162" i="2"/>
  <c r="AO155" i="2"/>
  <c r="AO154" i="2"/>
  <c r="AO153" i="2"/>
  <c r="AO159" i="2"/>
  <c r="AO158" i="2"/>
  <c r="AO157" i="2"/>
  <c r="AO156" i="2"/>
  <c r="AO152" i="2"/>
  <c r="AO151" i="2"/>
  <c r="AO150" i="2"/>
  <c r="AO149" i="2"/>
  <c r="AO143" i="2" l="1"/>
  <c r="AO141" i="2" l="1"/>
  <c r="AO140" i="2"/>
  <c r="AO139" i="2"/>
  <c r="AO138" i="2"/>
  <c r="AO137" i="2"/>
  <c r="AO136" i="2"/>
  <c r="AO147" i="2"/>
  <c r="AO146" i="2"/>
  <c r="AO145" i="2"/>
  <c r="AO144" i="2"/>
  <c r="AO135" i="2"/>
  <c r="AO134" i="2"/>
  <c r="AO123" i="2"/>
  <c r="AO121" i="2"/>
  <c r="AO120" i="2"/>
  <c r="AO114" i="2"/>
  <c r="AO111" i="2"/>
  <c r="AO109" i="2"/>
  <c r="AO108" i="2"/>
  <c r="AO107" i="2"/>
  <c r="AO106" i="2"/>
  <c r="AO105" i="2"/>
  <c r="AO100" i="2"/>
  <c r="AO99" i="2"/>
  <c r="AO98" i="2"/>
  <c r="AO97" i="2"/>
  <c r="AO96" i="2"/>
  <c r="AO95" i="2"/>
  <c r="AO94" i="2"/>
  <c r="AO93" i="2"/>
  <c r="AO92" i="2"/>
  <c r="AO91" i="2"/>
  <c r="AO90" i="2"/>
  <c r="AO89" i="2"/>
  <c r="AO88" i="2"/>
  <c r="AO87" i="2"/>
  <c r="AO86" i="2"/>
  <c r="AO85" i="2"/>
  <c r="AO84" i="2"/>
  <c r="AO83" i="2"/>
  <c r="AO82" i="2"/>
  <c r="AO81" i="2"/>
  <c r="AO80" i="2"/>
  <c r="AO70" i="2"/>
  <c r="AO73" i="2"/>
  <c r="AO75" i="2"/>
  <c r="AO74" i="2"/>
  <c r="AO72" i="2"/>
  <c r="AO71" i="2"/>
  <c r="AO69" i="2"/>
  <c r="AO67" i="2"/>
  <c r="AO66" i="2"/>
  <c r="AO19" i="2"/>
  <c r="AO282" i="2" l="1"/>
  <c r="AO18" i="2"/>
  <c r="AO17" i="2" s="1"/>
  <c r="AM268" i="2"/>
  <c r="AM158" i="2"/>
  <c r="AM129" i="2"/>
  <c r="AD292" i="4" l="1"/>
  <c r="AL291" i="4"/>
  <c r="AI291" i="4"/>
  <c r="AI290" i="4" s="1"/>
  <c r="AI289" i="4" s="1"/>
  <c r="AH291" i="4"/>
  <c r="X291" i="4"/>
  <c r="AD291" i="4" s="1"/>
  <c r="R291" i="4"/>
  <c r="S291" i="4" s="1"/>
  <c r="T291" i="4" s="1"/>
  <c r="U291" i="4" s="1"/>
  <c r="V291" i="4" s="1"/>
  <c r="W291" i="4" s="1"/>
  <c r="K291" i="4"/>
  <c r="AJ290" i="4"/>
  <c r="AJ289" i="4" s="1"/>
  <c r="X290" i="4"/>
  <c r="AH289" i="4"/>
  <c r="G289" i="4"/>
  <c r="G291" i="4" s="1"/>
  <c r="F289" i="4"/>
  <c r="F291" i="4" s="1"/>
  <c r="E289" i="4"/>
  <c r="E291" i="4" s="1"/>
  <c r="AJ281" i="4"/>
  <c r="AB281" i="4"/>
  <c r="Y281" i="4"/>
  <c r="W281" i="4"/>
  <c r="V281" i="4"/>
  <c r="M281" i="4"/>
  <c r="AN280" i="4"/>
  <c r="AL280" i="4"/>
  <c r="AH280" i="4"/>
  <c r="AD280" i="4"/>
  <c r="Z280" i="4"/>
  <c r="R280" i="4"/>
  <c r="X280" i="4" s="1"/>
  <c r="L280" i="4"/>
  <c r="N280" i="4" s="1"/>
  <c r="H280" i="4"/>
  <c r="G280" i="4"/>
  <c r="D280" i="4"/>
  <c r="AN279" i="4"/>
  <c r="AL279" i="4"/>
  <c r="AK279" i="4"/>
  <c r="AI279" i="4"/>
  <c r="AH279" i="4"/>
  <c r="Z279" i="4"/>
  <c r="AD279" i="4" s="1"/>
  <c r="Q279" i="4"/>
  <c r="R279" i="4" s="1"/>
  <c r="X279" i="4" s="1"/>
  <c r="O279" i="4"/>
  <c r="N279" i="4"/>
  <c r="AN278" i="4"/>
  <c r="AL278" i="4"/>
  <c r="AE278" i="4"/>
  <c r="AH278" i="4" s="1"/>
  <c r="Z278" i="4"/>
  <c r="AD278" i="4" s="1"/>
  <c r="Q278" i="4"/>
  <c r="R278" i="4" s="1"/>
  <c r="X278" i="4" s="1"/>
  <c r="O278" i="4"/>
  <c r="N278" i="4"/>
  <c r="L278" i="4"/>
  <c r="H278" i="4"/>
  <c r="G278" i="4"/>
  <c r="D278" i="4"/>
  <c r="AK277" i="4"/>
  <c r="AN277" i="4" s="1"/>
  <c r="AH277" i="4"/>
  <c r="Z277" i="4"/>
  <c r="AD277" i="4" s="1"/>
  <c r="Q277" i="4"/>
  <c r="R277" i="4" s="1"/>
  <c r="X277" i="4" s="1"/>
  <c r="L277" i="4"/>
  <c r="O277" i="4" s="1"/>
  <c r="H277" i="4"/>
  <c r="G277" i="4"/>
  <c r="D277" i="4"/>
  <c r="AK276" i="4"/>
  <c r="AL276" i="4" s="1"/>
  <c r="AE276" i="4"/>
  <c r="AH276" i="4" s="1"/>
  <c r="Z276" i="4"/>
  <c r="AD276" i="4" s="1"/>
  <c r="Q276" i="4"/>
  <c r="R276" i="4" s="1"/>
  <c r="X276" i="4" s="1"/>
  <c r="L276" i="4"/>
  <c r="N276" i="4" s="1"/>
  <c r="H276" i="4"/>
  <c r="G276" i="4"/>
  <c r="D276" i="4"/>
  <c r="AK275" i="4"/>
  <c r="AL275" i="4" s="1"/>
  <c r="AI275" i="4"/>
  <c r="AE275" i="4"/>
  <c r="AH275" i="4" s="1"/>
  <c r="Z275" i="4"/>
  <c r="AD275" i="4" s="1"/>
  <c r="Q275" i="4"/>
  <c r="R275" i="4" s="1"/>
  <c r="X275" i="4" s="1"/>
  <c r="L275" i="4"/>
  <c r="N275" i="4" s="1"/>
  <c r="H275" i="4"/>
  <c r="G275" i="4"/>
  <c r="D275" i="4"/>
  <c r="AN274" i="4"/>
  <c r="AL274" i="4"/>
  <c r="AH274" i="4"/>
  <c r="AD274" i="4"/>
  <c r="Q274" i="4"/>
  <c r="R274" i="4" s="1"/>
  <c r="X274" i="4" s="1"/>
  <c r="H274" i="4"/>
  <c r="I274" i="4" s="1"/>
  <c r="L274" i="4" s="1"/>
  <c r="G274" i="4"/>
  <c r="D274" i="4"/>
  <c r="AL273" i="4"/>
  <c r="AK273" i="4"/>
  <c r="AN273" i="4" s="1"/>
  <c r="AI273" i="4"/>
  <c r="AH273" i="4"/>
  <c r="AD273" i="4"/>
  <c r="Z273" i="4"/>
  <c r="Q273" i="4"/>
  <c r="R273" i="4" s="1"/>
  <c r="X273" i="4" s="1"/>
  <c r="L273" i="4"/>
  <c r="O273" i="4" s="1"/>
  <c r="H273" i="4"/>
  <c r="G273" i="4"/>
  <c r="D273" i="4"/>
  <c r="AN272" i="4"/>
  <c r="AK272" i="4"/>
  <c r="AL272" i="4" s="1"/>
  <c r="AH272" i="4"/>
  <c r="Z272" i="4"/>
  <c r="AA272" i="4" s="1"/>
  <c r="AD272" i="4" s="1"/>
  <c r="Q272" i="4"/>
  <c r="R272" i="4" s="1"/>
  <c r="X272" i="4" s="1"/>
  <c r="H272" i="4"/>
  <c r="I272" i="4" s="1"/>
  <c r="L272" i="4" s="1"/>
  <c r="O272" i="4" s="1"/>
  <c r="G272" i="4"/>
  <c r="D272" i="4"/>
  <c r="AN271" i="4"/>
  <c r="AL271" i="4"/>
  <c r="AH271" i="4"/>
  <c r="Z271" i="4"/>
  <c r="AD271" i="4" s="1"/>
  <c r="Q271" i="4"/>
  <c r="R271" i="4" s="1"/>
  <c r="X271" i="4" s="1"/>
  <c r="L271" i="4"/>
  <c r="N271" i="4" s="1"/>
  <c r="H271" i="4"/>
  <c r="G271" i="4"/>
  <c r="D271" i="4"/>
  <c r="AN270" i="4"/>
  <c r="AK270" i="4"/>
  <c r="AL270" i="4" s="1"/>
  <c r="AI270" i="4"/>
  <c r="AH270" i="4"/>
  <c r="Z270" i="4"/>
  <c r="AD270" i="4" s="1"/>
  <c r="Q270" i="4"/>
  <c r="R270" i="4" s="1"/>
  <c r="X270" i="4" s="1"/>
  <c r="L270" i="4"/>
  <c r="N270" i="4" s="1"/>
  <c r="H270" i="4"/>
  <c r="G270" i="4"/>
  <c r="D270" i="4"/>
  <c r="AK269" i="4"/>
  <c r="AL269" i="4" s="1"/>
  <c r="AH269" i="4"/>
  <c r="Z269" i="4"/>
  <c r="AD269" i="4" s="1"/>
  <c r="Q269" i="4"/>
  <c r="R269" i="4" s="1"/>
  <c r="X269" i="4" s="1"/>
  <c r="L269" i="4"/>
  <c r="N269" i="4" s="1"/>
  <c r="H269" i="4"/>
  <c r="G269" i="4"/>
  <c r="D269" i="4"/>
  <c r="AN268" i="4"/>
  <c r="AL268" i="4"/>
  <c r="AI268" i="4"/>
  <c r="AH268" i="4"/>
  <c r="Z268" i="4"/>
  <c r="AD268" i="4" s="1"/>
  <c r="Q268" i="4"/>
  <c r="R268" i="4" s="1"/>
  <c r="X268" i="4" s="1"/>
  <c r="O268" i="4"/>
  <c r="L268" i="4"/>
  <c r="N268" i="4" s="1"/>
  <c r="H268" i="4"/>
  <c r="G268" i="4"/>
  <c r="D268" i="4"/>
  <c r="AN267" i="4"/>
  <c r="AN266" i="4"/>
  <c r="AL266" i="4"/>
  <c r="AH266" i="4"/>
  <c r="Z266" i="4"/>
  <c r="AD266" i="4" s="1"/>
  <c r="Q266" i="4"/>
  <c r="R266" i="4" s="1"/>
  <c r="X266" i="4" s="1"/>
  <c r="H266" i="4"/>
  <c r="I266" i="4" s="1"/>
  <c r="L266" i="4" s="1"/>
  <c r="N266" i="4" s="1"/>
  <c r="G266" i="4"/>
  <c r="D266" i="4"/>
  <c r="AK265" i="4"/>
  <c r="AL265" i="4" s="1"/>
  <c r="AH265" i="4"/>
  <c r="Z265" i="4"/>
  <c r="AD265" i="4" s="1"/>
  <c r="Q265" i="4"/>
  <c r="R265" i="4" s="1"/>
  <c r="X265" i="4" s="1"/>
  <c r="L265" i="4"/>
  <c r="N265" i="4" s="1"/>
  <c r="H265" i="4"/>
  <c r="G265" i="4"/>
  <c r="D265" i="4"/>
  <c r="AK264" i="4"/>
  <c r="AN264" i="4" s="1"/>
  <c r="AH264" i="4"/>
  <c r="Z264" i="4"/>
  <c r="AD264" i="4" s="1"/>
  <c r="Q264" i="4"/>
  <c r="R264" i="4" s="1"/>
  <c r="X264" i="4" s="1"/>
  <c r="L264" i="4"/>
  <c r="O264" i="4" s="1"/>
  <c r="H264" i="4"/>
  <c r="G264" i="4"/>
  <c r="D264" i="4"/>
  <c r="C264" i="4"/>
  <c r="AK263" i="4"/>
  <c r="AL263" i="4" s="1"/>
  <c r="AH263" i="4"/>
  <c r="Z263" i="4"/>
  <c r="AD263" i="4" s="1"/>
  <c r="Q263" i="4"/>
  <c r="R263" i="4" s="1"/>
  <c r="X263" i="4" s="1"/>
  <c r="O263" i="4"/>
  <c r="N263" i="4"/>
  <c r="L263" i="4"/>
  <c r="H263" i="4"/>
  <c r="G263" i="4"/>
  <c r="D263" i="4"/>
  <c r="AN262" i="4"/>
  <c r="AL262" i="4"/>
  <c r="AH262" i="4"/>
  <c r="AD262" i="4"/>
  <c r="Z262" i="4"/>
  <c r="Q262" i="4"/>
  <c r="R262" i="4" s="1"/>
  <c r="X262" i="4" s="1"/>
  <c r="H262" i="4"/>
  <c r="I262" i="4" s="1"/>
  <c r="L262" i="4" s="1"/>
  <c r="O262" i="4" s="1"/>
  <c r="G262" i="4"/>
  <c r="D262" i="4"/>
  <c r="AK261" i="4"/>
  <c r="AL261" i="4" s="1"/>
  <c r="AH261" i="4"/>
  <c r="AD261" i="4"/>
  <c r="Z261" i="4"/>
  <c r="Q261" i="4"/>
  <c r="R261" i="4" s="1"/>
  <c r="X261" i="4" s="1"/>
  <c r="H261" i="4"/>
  <c r="I261" i="4" s="1"/>
  <c r="L261" i="4" s="1"/>
  <c r="O261" i="4" s="1"/>
  <c r="G261" i="4"/>
  <c r="D261" i="4"/>
  <c r="AK260" i="4"/>
  <c r="AL260" i="4" s="1"/>
  <c r="AE260" i="4"/>
  <c r="AH260" i="4" s="1"/>
  <c r="Z260" i="4"/>
  <c r="AD260" i="4" s="1"/>
  <c r="Q260" i="4"/>
  <c r="R260" i="4" s="1"/>
  <c r="X260" i="4" s="1"/>
  <c r="L260" i="4"/>
  <c r="N260" i="4" s="1"/>
  <c r="H260" i="4"/>
  <c r="G260" i="4"/>
  <c r="D260" i="4"/>
  <c r="AK259" i="4"/>
  <c r="AL259" i="4" s="1"/>
  <c r="AE259" i="4"/>
  <c r="AH259" i="4" s="1"/>
  <c r="Z259" i="4"/>
  <c r="AD259" i="4" s="1"/>
  <c r="Q259" i="4"/>
  <c r="R259" i="4" s="1"/>
  <c r="X259" i="4" s="1"/>
  <c r="L259" i="4"/>
  <c r="O259" i="4" s="1"/>
  <c r="H259" i="4"/>
  <c r="G259" i="4"/>
  <c r="D259" i="4"/>
  <c r="AK258" i="4"/>
  <c r="AL258" i="4" s="1"/>
  <c r="AH258" i="4"/>
  <c r="AE258" i="4"/>
  <c r="Z258" i="4"/>
  <c r="AD258" i="4" s="1"/>
  <c r="R258" i="4"/>
  <c r="X258" i="4" s="1"/>
  <c r="Q258" i="4"/>
  <c r="L258" i="4"/>
  <c r="N258" i="4" s="1"/>
  <c r="H258" i="4"/>
  <c r="G258" i="4"/>
  <c r="D258" i="4"/>
  <c r="AK257" i="4"/>
  <c r="AL257" i="4" s="1"/>
  <c r="AH257" i="4"/>
  <c r="Z257" i="4"/>
  <c r="AD257" i="4" s="1"/>
  <c r="Q257" i="4"/>
  <c r="R257" i="4" s="1"/>
  <c r="X257" i="4" s="1"/>
  <c r="L257" i="4"/>
  <c r="H257" i="4"/>
  <c r="G257" i="4"/>
  <c r="D257" i="4"/>
  <c r="AK256" i="4"/>
  <c r="AL256" i="4" s="1"/>
  <c r="AH256" i="4"/>
  <c r="Z256" i="4"/>
  <c r="AD256" i="4" s="1"/>
  <c r="Q256" i="4"/>
  <c r="R256" i="4" s="1"/>
  <c r="X256" i="4" s="1"/>
  <c r="L256" i="4"/>
  <c r="H256" i="4"/>
  <c r="G256" i="4"/>
  <c r="D256" i="4"/>
  <c r="AK255" i="4"/>
  <c r="AN255" i="4" s="1"/>
  <c r="AI255" i="4"/>
  <c r="AH255" i="4"/>
  <c r="Z255" i="4"/>
  <c r="AD255" i="4" s="1"/>
  <c r="Q255" i="4"/>
  <c r="R255" i="4" s="1"/>
  <c r="X255" i="4" s="1"/>
  <c r="L255" i="4"/>
  <c r="H255" i="4"/>
  <c r="C255" i="4"/>
  <c r="AN254" i="4"/>
  <c r="AL254" i="4"/>
  <c r="AH254" i="4"/>
  <c r="Z254" i="4"/>
  <c r="AD254" i="4" s="1"/>
  <c r="Q254" i="4"/>
  <c r="R254" i="4" s="1"/>
  <c r="X254" i="4" s="1"/>
  <c r="L254" i="4"/>
  <c r="O254" i="4" s="1"/>
  <c r="H254" i="4"/>
  <c r="G254" i="4"/>
  <c r="D254" i="4"/>
  <c r="AN253" i="4"/>
  <c r="AL253" i="4"/>
  <c r="AH253" i="4"/>
  <c r="Q253" i="4"/>
  <c r="R253" i="4" s="1"/>
  <c r="X253" i="4" s="1"/>
  <c r="L253" i="4"/>
  <c r="O253" i="4" s="1"/>
  <c r="H253" i="4"/>
  <c r="G253" i="4"/>
  <c r="D253" i="4"/>
  <c r="Z253" i="4" s="1"/>
  <c r="AD253" i="4" s="1"/>
  <c r="AK252" i="4"/>
  <c r="AN252" i="4" s="1"/>
  <c r="AI252" i="4"/>
  <c r="AH252" i="4"/>
  <c r="Z252" i="4"/>
  <c r="AD252" i="4" s="1"/>
  <c r="Q252" i="4"/>
  <c r="R252" i="4" s="1"/>
  <c r="X252" i="4" s="1"/>
  <c r="L252" i="4"/>
  <c r="O252" i="4" s="1"/>
  <c r="H252" i="4"/>
  <c r="G252" i="4"/>
  <c r="D252" i="4"/>
  <c r="AK251" i="4"/>
  <c r="AL251" i="4" s="1"/>
  <c r="AH251" i="4"/>
  <c r="AD251" i="4"/>
  <c r="Z251" i="4"/>
  <c r="Q251" i="4"/>
  <c r="R251" i="4" s="1"/>
  <c r="X251" i="4" s="1"/>
  <c r="L251" i="4"/>
  <c r="H251" i="4"/>
  <c r="C251" i="4"/>
  <c r="AK250" i="4"/>
  <c r="AN250" i="4" s="1"/>
  <c r="AI250" i="4"/>
  <c r="AF250" i="4"/>
  <c r="AH250" i="4" s="1"/>
  <c r="Z250" i="4"/>
  <c r="AD250" i="4" s="1"/>
  <c r="Q250" i="4"/>
  <c r="R250" i="4" s="1"/>
  <c r="X250" i="4" s="1"/>
  <c r="L250" i="4"/>
  <c r="O250" i="4" s="1"/>
  <c r="H250" i="4"/>
  <c r="G250" i="4"/>
  <c r="D250" i="4"/>
  <c r="AK249" i="4"/>
  <c r="AH249" i="4"/>
  <c r="Q249" i="4"/>
  <c r="R249" i="4" s="1"/>
  <c r="X249" i="4" s="1"/>
  <c r="L249" i="4"/>
  <c r="O249" i="4" s="1"/>
  <c r="H249" i="4"/>
  <c r="G249" i="4"/>
  <c r="D249" i="4"/>
  <c r="Z249" i="4" s="1"/>
  <c r="AD249" i="4" s="1"/>
  <c r="AN248" i="4"/>
  <c r="AL248" i="4"/>
  <c r="AK248" i="4"/>
  <c r="AI248" i="4"/>
  <c r="AH248" i="4"/>
  <c r="AD248" i="4"/>
  <c r="Z248" i="4"/>
  <c r="Q248" i="4"/>
  <c r="R248" i="4" s="1"/>
  <c r="X248" i="4" s="1"/>
  <c r="L248" i="4"/>
  <c r="O248" i="4" s="1"/>
  <c r="H248" i="4"/>
  <c r="G248" i="4"/>
  <c r="D248" i="4"/>
  <c r="AK247" i="4"/>
  <c r="AL247" i="4" s="1"/>
  <c r="AH247" i="4"/>
  <c r="Z247" i="4"/>
  <c r="AD247" i="4" s="1"/>
  <c r="Q247" i="4"/>
  <c r="R247" i="4" s="1"/>
  <c r="X247" i="4" s="1"/>
  <c r="H247" i="4"/>
  <c r="I247" i="4" s="1"/>
  <c r="L247" i="4" s="1"/>
  <c r="G247" i="4"/>
  <c r="D247" i="4"/>
  <c r="AN246" i="4"/>
  <c r="AL246" i="4"/>
  <c r="AH246" i="4"/>
  <c r="Z246" i="4"/>
  <c r="AD246" i="4" s="1"/>
  <c r="X246" i="4"/>
  <c r="Q246" i="4"/>
  <c r="R246" i="4" s="1"/>
  <c r="H246" i="4"/>
  <c r="I246" i="4" s="1"/>
  <c r="L246" i="4" s="1"/>
  <c r="O246" i="4" s="1"/>
  <c r="G246" i="4"/>
  <c r="D246" i="4"/>
  <c r="AN245" i="4"/>
  <c r="AL245" i="4"/>
  <c r="AK244" i="4"/>
  <c r="AL244" i="4" s="1"/>
  <c r="AI244" i="4"/>
  <c r="AH244" i="4"/>
  <c r="Z244" i="4"/>
  <c r="AD244" i="4" s="1"/>
  <c r="Q244" i="4"/>
  <c r="R244" i="4" s="1"/>
  <c r="X244" i="4" s="1"/>
  <c r="H244" i="4"/>
  <c r="I244" i="4" s="1"/>
  <c r="L244" i="4" s="1"/>
  <c r="O244" i="4" s="1"/>
  <c r="G244" i="4"/>
  <c r="D244" i="4"/>
  <c r="AN243" i="4"/>
  <c r="AL243" i="4"/>
  <c r="AH243" i="4"/>
  <c r="Z243" i="4"/>
  <c r="AD243" i="4" s="1"/>
  <c r="Q243" i="4"/>
  <c r="R243" i="4" s="1"/>
  <c r="X243" i="4" s="1"/>
  <c r="L243" i="4"/>
  <c r="O243" i="4" s="1"/>
  <c r="H243" i="4"/>
  <c r="G243" i="4"/>
  <c r="D243" i="4"/>
  <c r="AK242" i="4"/>
  <c r="AL242" i="4" s="1"/>
  <c r="AH242" i="4"/>
  <c r="Z242" i="4"/>
  <c r="AD242" i="4" s="1"/>
  <c r="Q242" i="4"/>
  <c r="R242" i="4" s="1"/>
  <c r="X242" i="4" s="1"/>
  <c r="L242" i="4"/>
  <c r="N242" i="4" s="1"/>
  <c r="H242" i="4"/>
  <c r="G242" i="4"/>
  <c r="D242" i="4"/>
  <c r="AL241" i="4"/>
  <c r="AK241" i="4"/>
  <c r="AN241" i="4" s="1"/>
  <c r="AH241" i="4"/>
  <c r="Z241" i="4"/>
  <c r="AD241" i="4" s="1"/>
  <c r="Q241" i="4"/>
  <c r="R241" i="4" s="1"/>
  <c r="X241" i="4" s="1"/>
  <c r="O241" i="4"/>
  <c r="L241" i="4"/>
  <c r="N241" i="4" s="1"/>
  <c r="H241" i="4"/>
  <c r="G241" i="4"/>
  <c r="D241" i="4"/>
  <c r="AN240" i="4"/>
  <c r="AL240" i="4"/>
  <c r="AH240" i="4"/>
  <c r="Z240" i="4"/>
  <c r="AD240" i="4" s="1"/>
  <c r="Q240" i="4"/>
  <c r="R240" i="4" s="1"/>
  <c r="X240" i="4" s="1"/>
  <c r="L240" i="4"/>
  <c r="O240" i="4" s="1"/>
  <c r="H240" i="4"/>
  <c r="G240" i="4"/>
  <c r="D240" i="4"/>
  <c r="AK239" i="4"/>
  <c r="AL239" i="4" s="1"/>
  <c r="AH239" i="4"/>
  <c r="Z239" i="4"/>
  <c r="AD239" i="4" s="1"/>
  <c r="Q239" i="4"/>
  <c r="R239" i="4" s="1"/>
  <c r="X239" i="4" s="1"/>
  <c r="L239" i="4"/>
  <c r="N239" i="4" s="1"/>
  <c r="H239" i="4"/>
  <c r="G239" i="4"/>
  <c r="D239" i="4"/>
  <c r="AK238" i="4"/>
  <c r="AL238" i="4" s="1"/>
  <c r="AH238" i="4"/>
  <c r="Z238" i="4"/>
  <c r="AD238" i="4" s="1"/>
  <c r="Q238" i="4"/>
  <c r="R238" i="4" s="1"/>
  <c r="X238" i="4" s="1"/>
  <c r="O238" i="4"/>
  <c r="L238" i="4"/>
  <c r="N238" i="4" s="1"/>
  <c r="H238" i="4"/>
  <c r="G238" i="4"/>
  <c r="D238" i="4"/>
  <c r="AK237" i="4"/>
  <c r="AN237" i="4" s="1"/>
  <c r="AH237" i="4"/>
  <c r="Z237" i="4"/>
  <c r="AD237" i="4" s="1"/>
  <c r="Q237" i="4"/>
  <c r="R237" i="4" s="1"/>
  <c r="X237" i="4" s="1"/>
  <c r="L237" i="4"/>
  <c r="N237" i="4" s="1"/>
  <c r="H237" i="4"/>
  <c r="G237" i="4"/>
  <c r="D237" i="4"/>
  <c r="AK236" i="4"/>
  <c r="AL236" i="4" s="1"/>
  <c r="AH236" i="4"/>
  <c r="Z236" i="4"/>
  <c r="AD236" i="4" s="1"/>
  <c r="Q236" i="4"/>
  <c r="R236" i="4" s="1"/>
  <c r="X236" i="4" s="1"/>
  <c r="L236" i="4"/>
  <c r="O236" i="4" s="1"/>
  <c r="H236" i="4"/>
  <c r="G236" i="4"/>
  <c r="D236" i="4"/>
  <c r="AN235" i="4"/>
  <c r="AL235" i="4"/>
  <c r="AH235" i="4"/>
  <c r="Z235" i="4"/>
  <c r="AD235" i="4" s="1"/>
  <c r="Q235" i="4"/>
  <c r="R235" i="4" s="1"/>
  <c r="X235" i="4" s="1"/>
  <c r="L235" i="4"/>
  <c r="N235" i="4" s="1"/>
  <c r="H235" i="4"/>
  <c r="G235" i="4"/>
  <c r="D235" i="4"/>
  <c r="AN234" i="4"/>
  <c r="AL234" i="4"/>
  <c r="AH234" i="4"/>
  <c r="Z234" i="4"/>
  <c r="AD234" i="4" s="1"/>
  <c r="Q234" i="4"/>
  <c r="R234" i="4" s="1"/>
  <c r="X234" i="4" s="1"/>
  <c r="L234" i="4"/>
  <c r="O234" i="4" s="1"/>
  <c r="H234" i="4"/>
  <c r="G234" i="4"/>
  <c r="D234" i="4"/>
  <c r="AK233" i="4"/>
  <c r="AL233" i="4" s="1"/>
  <c r="AI233" i="4"/>
  <c r="AE233" i="4"/>
  <c r="AH233" i="4" s="1"/>
  <c r="Z233" i="4"/>
  <c r="AD233" i="4" s="1"/>
  <c r="T233" i="4"/>
  <c r="S233" i="4"/>
  <c r="Q233" i="4"/>
  <c r="R233" i="4" s="1"/>
  <c r="X233" i="4" s="1"/>
  <c r="K233" i="4"/>
  <c r="K281" i="4" s="1"/>
  <c r="H233" i="4"/>
  <c r="I233" i="4" s="1"/>
  <c r="C233" i="4"/>
  <c r="G233" i="4" s="1"/>
  <c r="AK232" i="4"/>
  <c r="AN232" i="4" s="1"/>
  <c r="AI232" i="4"/>
  <c r="AH232" i="4"/>
  <c r="Z232" i="4"/>
  <c r="AD232" i="4" s="1"/>
  <c r="Q232" i="4"/>
  <c r="R232" i="4" s="1"/>
  <c r="X232" i="4" s="1"/>
  <c r="H232" i="4"/>
  <c r="I232" i="4" s="1"/>
  <c r="L232" i="4" s="1"/>
  <c r="G232" i="4"/>
  <c r="D232" i="4"/>
  <c r="AK231" i="4"/>
  <c r="AL231" i="4" s="1"/>
  <c r="AE231" i="4"/>
  <c r="AH231" i="4" s="1"/>
  <c r="Z231" i="4"/>
  <c r="AD231" i="4" s="1"/>
  <c r="Q231" i="4"/>
  <c r="R231" i="4" s="1"/>
  <c r="X231" i="4" s="1"/>
  <c r="H231" i="4"/>
  <c r="I231" i="4" s="1"/>
  <c r="L231" i="4" s="1"/>
  <c r="G231" i="4"/>
  <c r="D231" i="4"/>
  <c r="AN230" i="4"/>
  <c r="AL230" i="4"/>
  <c r="AI230" i="4"/>
  <c r="AH230" i="4"/>
  <c r="Z230" i="4"/>
  <c r="AD230" i="4" s="1"/>
  <c r="Q230" i="4"/>
  <c r="R230" i="4" s="1"/>
  <c r="X230" i="4" s="1"/>
  <c r="L230" i="4"/>
  <c r="N230" i="4" s="1"/>
  <c r="H230" i="4"/>
  <c r="G230" i="4"/>
  <c r="D230" i="4"/>
  <c r="AK229" i="4"/>
  <c r="AN229" i="4" s="1"/>
  <c r="AH229" i="4"/>
  <c r="Z229" i="4"/>
  <c r="AD229" i="4" s="1"/>
  <c r="Q229" i="4"/>
  <c r="R229" i="4" s="1"/>
  <c r="X229" i="4" s="1"/>
  <c r="H229" i="4"/>
  <c r="I229" i="4" s="1"/>
  <c r="L229" i="4" s="1"/>
  <c r="G229" i="4"/>
  <c r="D229" i="4"/>
  <c r="AK228" i="4"/>
  <c r="AL228" i="4" s="1"/>
  <c r="AI228" i="4"/>
  <c r="AH228" i="4"/>
  <c r="Z228" i="4"/>
  <c r="AD228" i="4" s="1"/>
  <c r="S228" i="4"/>
  <c r="Q228" i="4"/>
  <c r="R228" i="4" s="1"/>
  <c r="X228" i="4" s="1"/>
  <c r="L228" i="4"/>
  <c r="H228" i="4"/>
  <c r="G228" i="4"/>
  <c r="D228" i="4"/>
  <c r="AK227" i="4"/>
  <c r="AL227" i="4" s="1"/>
  <c r="AI227" i="4"/>
  <c r="AH227" i="4"/>
  <c r="Z227" i="4"/>
  <c r="AD227" i="4" s="1"/>
  <c r="S227" i="4"/>
  <c r="Q227" i="4"/>
  <c r="R227" i="4" s="1"/>
  <c r="L227" i="4"/>
  <c r="N227" i="4" s="1"/>
  <c r="H227" i="4"/>
  <c r="G227" i="4"/>
  <c r="D227" i="4"/>
  <c r="AK226" i="4"/>
  <c r="AL226" i="4" s="1"/>
  <c r="AH226" i="4"/>
  <c r="Z226" i="4"/>
  <c r="AD226" i="4" s="1"/>
  <c r="Q226" i="4"/>
  <c r="R226" i="4" s="1"/>
  <c r="X226" i="4" s="1"/>
  <c r="L226" i="4"/>
  <c r="H226" i="4"/>
  <c r="G226" i="4"/>
  <c r="D226" i="4"/>
  <c r="AK225" i="4"/>
  <c r="AL225" i="4" s="1"/>
  <c r="AH225" i="4"/>
  <c r="Z225" i="4"/>
  <c r="AD225" i="4" s="1"/>
  <c r="Q225" i="4"/>
  <c r="R225" i="4" s="1"/>
  <c r="X225" i="4" s="1"/>
  <c r="L225" i="4"/>
  <c r="H225" i="4"/>
  <c r="G225" i="4"/>
  <c r="D225" i="4"/>
  <c r="AK224" i="4"/>
  <c r="AN224" i="4" s="1"/>
  <c r="AH224" i="4"/>
  <c r="Z224" i="4"/>
  <c r="AD224" i="4" s="1"/>
  <c r="Q224" i="4"/>
  <c r="R224" i="4" s="1"/>
  <c r="X224" i="4" s="1"/>
  <c r="L224" i="4"/>
  <c r="N224" i="4" s="1"/>
  <c r="H224" i="4"/>
  <c r="G224" i="4"/>
  <c r="D224" i="4"/>
  <c r="AK223" i="4"/>
  <c r="AN223" i="4" s="1"/>
  <c r="AH223" i="4"/>
  <c r="Z223" i="4"/>
  <c r="AD223" i="4" s="1"/>
  <c r="Q223" i="4"/>
  <c r="R223" i="4" s="1"/>
  <c r="X223" i="4" s="1"/>
  <c r="L223" i="4"/>
  <c r="N223" i="4" s="1"/>
  <c r="H223" i="4"/>
  <c r="G223" i="4"/>
  <c r="D223" i="4"/>
  <c r="AK222" i="4"/>
  <c r="AH222" i="4"/>
  <c r="Z222" i="4"/>
  <c r="AD222" i="4" s="1"/>
  <c r="Q222" i="4"/>
  <c r="R222" i="4" s="1"/>
  <c r="X222" i="4" s="1"/>
  <c r="N222" i="4"/>
  <c r="L222" i="4"/>
  <c r="O222" i="4" s="1"/>
  <c r="H222" i="4"/>
  <c r="G222" i="4"/>
  <c r="D222" i="4"/>
  <c r="AK221" i="4"/>
  <c r="AL221" i="4" s="1"/>
  <c r="AH221" i="4"/>
  <c r="AE221" i="4"/>
  <c r="Z221" i="4"/>
  <c r="AD221" i="4" s="1"/>
  <c r="Q221" i="4"/>
  <c r="R221" i="4" s="1"/>
  <c r="X221" i="4" s="1"/>
  <c r="L221" i="4"/>
  <c r="O221" i="4" s="1"/>
  <c r="H221" i="4"/>
  <c r="G221" i="4"/>
  <c r="D221" i="4"/>
  <c r="AN220" i="4"/>
  <c r="AL220" i="4"/>
  <c r="AH220" i="4"/>
  <c r="Z220" i="4"/>
  <c r="AD220" i="4" s="1"/>
  <c r="Q220" i="4"/>
  <c r="R220" i="4" s="1"/>
  <c r="X220" i="4" s="1"/>
  <c r="H220" i="4"/>
  <c r="I220" i="4" s="1"/>
  <c r="L220" i="4" s="1"/>
  <c r="N220" i="4" s="1"/>
  <c r="G220" i="4"/>
  <c r="D220" i="4"/>
  <c r="AK219" i="4"/>
  <c r="AN219" i="4" s="1"/>
  <c r="AH219" i="4"/>
  <c r="Z219" i="4"/>
  <c r="AD219" i="4" s="1"/>
  <c r="Q219" i="4"/>
  <c r="R219" i="4" s="1"/>
  <c r="X219" i="4" s="1"/>
  <c r="H219" i="4"/>
  <c r="I219" i="4" s="1"/>
  <c r="L219" i="4" s="1"/>
  <c r="G219" i="4"/>
  <c r="D219" i="4"/>
  <c r="AK218" i="4"/>
  <c r="AN218" i="4" s="1"/>
  <c r="AH218" i="4"/>
  <c r="Z218" i="4"/>
  <c r="AD218" i="4" s="1"/>
  <c r="Q218" i="4"/>
  <c r="R218" i="4" s="1"/>
  <c r="X218" i="4" s="1"/>
  <c r="L218" i="4"/>
  <c r="N218" i="4" s="1"/>
  <c r="H218" i="4"/>
  <c r="G218" i="4"/>
  <c r="D218" i="4"/>
  <c r="AN217" i="4"/>
  <c r="AL217" i="4"/>
  <c r="AH217" i="4"/>
  <c r="Z217" i="4"/>
  <c r="AA217" i="4" s="1"/>
  <c r="X217" i="4"/>
  <c r="R217" i="4"/>
  <c r="Q217" i="4"/>
  <c r="L217" i="4"/>
  <c r="O217" i="4" s="1"/>
  <c r="H217" i="4"/>
  <c r="C217" i="4"/>
  <c r="G217" i="4" s="1"/>
  <c r="AK216" i="4"/>
  <c r="AN216" i="4" s="1"/>
  <c r="AI216" i="4"/>
  <c r="AF216" i="4"/>
  <c r="AE216" i="4"/>
  <c r="Z216" i="4"/>
  <c r="AD216" i="4" s="1"/>
  <c r="Q216" i="4"/>
  <c r="R216" i="4" s="1"/>
  <c r="X216" i="4" s="1"/>
  <c r="L216" i="4"/>
  <c r="O216" i="4" s="1"/>
  <c r="H216" i="4"/>
  <c r="G216" i="4"/>
  <c r="D216" i="4"/>
  <c r="AN215" i="4"/>
  <c r="AL215" i="4"/>
  <c r="AI215" i="4"/>
  <c r="AH215" i="4"/>
  <c r="Z215" i="4"/>
  <c r="AD215" i="4" s="1"/>
  <c r="Q215" i="4"/>
  <c r="R215" i="4" s="1"/>
  <c r="X215" i="4" s="1"/>
  <c r="L215" i="4"/>
  <c r="N215" i="4" s="1"/>
  <c r="H215" i="4"/>
  <c r="G215" i="4"/>
  <c r="D215" i="4"/>
  <c r="AK214" i="4"/>
  <c r="AN214" i="4" s="1"/>
  <c r="AH214" i="4"/>
  <c r="Z214" i="4"/>
  <c r="AD214" i="4" s="1"/>
  <c r="X214" i="4"/>
  <c r="Q214" i="4"/>
  <c r="R214" i="4" s="1"/>
  <c r="L214" i="4"/>
  <c r="N214" i="4" s="1"/>
  <c r="H214" i="4"/>
  <c r="C214" i="4"/>
  <c r="D214" i="4" s="1"/>
  <c r="AN213" i="4"/>
  <c r="AL213" i="4"/>
  <c r="AI213" i="4"/>
  <c r="AH213" i="4"/>
  <c r="Z213" i="4"/>
  <c r="AD213" i="4" s="1"/>
  <c r="Q213" i="4"/>
  <c r="R213" i="4" s="1"/>
  <c r="X213" i="4" s="1"/>
  <c r="L213" i="4"/>
  <c r="O213" i="4" s="1"/>
  <c r="H213" i="4"/>
  <c r="C213" i="4"/>
  <c r="G213" i="4" s="1"/>
  <c r="AN212" i="4"/>
  <c r="AL212" i="4"/>
  <c r="AH212" i="4"/>
  <c r="Z212" i="4"/>
  <c r="AD212" i="4" s="1"/>
  <c r="Q212" i="4"/>
  <c r="R212" i="4" s="1"/>
  <c r="X212" i="4" s="1"/>
  <c r="L212" i="4"/>
  <c r="O212" i="4" s="1"/>
  <c r="H212" i="4"/>
  <c r="G212" i="4"/>
  <c r="D212" i="4"/>
  <c r="AN211" i="4"/>
  <c r="AL211" i="4"/>
  <c r="AH211" i="4"/>
  <c r="Z211" i="4"/>
  <c r="AD211" i="4" s="1"/>
  <c r="Q211" i="4"/>
  <c r="R211" i="4" s="1"/>
  <c r="X211" i="4" s="1"/>
  <c r="L211" i="4"/>
  <c r="N211" i="4" s="1"/>
  <c r="H211" i="4"/>
  <c r="G211" i="4"/>
  <c r="D211" i="4"/>
  <c r="AK210" i="4"/>
  <c r="AL210" i="4" s="1"/>
  <c r="AI210" i="4"/>
  <c r="AH210" i="4"/>
  <c r="Z210" i="4"/>
  <c r="AD210" i="4" s="1"/>
  <c r="Q210" i="4"/>
  <c r="R210" i="4" s="1"/>
  <c r="X210" i="4" s="1"/>
  <c r="L210" i="4"/>
  <c r="N210" i="4" s="1"/>
  <c r="H210" i="4"/>
  <c r="G210" i="4"/>
  <c r="D210" i="4"/>
  <c r="AK209" i="4"/>
  <c r="AN209" i="4" s="1"/>
  <c r="AI209" i="4"/>
  <c r="AH209" i="4"/>
  <c r="Z209" i="4"/>
  <c r="AD209" i="4" s="1"/>
  <c r="Q209" i="4"/>
  <c r="R209" i="4" s="1"/>
  <c r="X209" i="4" s="1"/>
  <c r="L209" i="4"/>
  <c r="N209" i="4" s="1"/>
  <c r="H209" i="4"/>
  <c r="G209" i="4"/>
  <c r="D209" i="4"/>
  <c r="AN208" i="4"/>
  <c r="AL208" i="4"/>
  <c r="AH208" i="4"/>
  <c r="Z208" i="4"/>
  <c r="AD208" i="4" s="1"/>
  <c r="R208" i="4"/>
  <c r="X208" i="4" s="1"/>
  <c r="Q208" i="4"/>
  <c r="H208" i="4"/>
  <c r="I208" i="4" s="1"/>
  <c r="L208" i="4" s="1"/>
  <c r="N208" i="4" s="1"/>
  <c r="G208" i="4"/>
  <c r="D208" i="4"/>
  <c r="AM207" i="4"/>
  <c r="AM281" i="4" s="1"/>
  <c r="AK207" i="4"/>
  <c r="AN207" i="4" s="1"/>
  <c r="AI207" i="4"/>
  <c r="AH207" i="4"/>
  <c r="Z207" i="4"/>
  <c r="AD207" i="4" s="1"/>
  <c r="Q207" i="4"/>
  <c r="R207" i="4" s="1"/>
  <c r="X207" i="4" s="1"/>
  <c r="L207" i="4"/>
  <c r="O207" i="4" s="1"/>
  <c r="H207" i="4"/>
  <c r="G207" i="4"/>
  <c r="D207" i="4"/>
  <c r="AK206" i="4"/>
  <c r="AN206" i="4" s="1"/>
  <c r="AE206" i="4"/>
  <c r="AH206" i="4" s="1"/>
  <c r="Z206" i="4"/>
  <c r="AD206" i="4" s="1"/>
  <c r="Q206" i="4"/>
  <c r="R206" i="4" s="1"/>
  <c r="X206" i="4" s="1"/>
  <c r="L206" i="4"/>
  <c r="N206" i="4" s="1"/>
  <c r="H206" i="4"/>
  <c r="G206" i="4"/>
  <c r="D206" i="4"/>
  <c r="AK205" i="4"/>
  <c r="AN205" i="4" s="1"/>
  <c r="AI205" i="4"/>
  <c r="AH205" i="4"/>
  <c r="Z205" i="4"/>
  <c r="AD205" i="4" s="1"/>
  <c r="Q205" i="4"/>
  <c r="R205" i="4" s="1"/>
  <c r="X205" i="4" s="1"/>
  <c r="O205" i="4"/>
  <c r="N205" i="4"/>
  <c r="L205" i="4"/>
  <c r="H205" i="4"/>
  <c r="G205" i="4"/>
  <c r="D205" i="4"/>
  <c r="AK204" i="4"/>
  <c r="AN204" i="4" s="1"/>
  <c r="AI204" i="4"/>
  <c r="AH204" i="4"/>
  <c r="Z204" i="4"/>
  <c r="AD204" i="4" s="1"/>
  <c r="T204" i="4"/>
  <c r="S204" i="4"/>
  <c r="Q204" i="4"/>
  <c r="R204" i="4" s="1"/>
  <c r="H204" i="4"/>
  <c r="I204" i="4" s="1"/>
  <c r="L204" i="4" s="1"/>
  <c r="G204" i="4"/>
  <c r="D204" i="4"/>
  <c r="AK203" i="4"/>
  <c r="AL203" i="4" s="1"/>
  <c r="AH203" i="4"/>
  <c r="Z203" i="4"/>
  <c r="AD203" i="4" s="1"/>
  <c r="S203" i="4"/>
  <c r="Q203" i="4"/>
  <c r="R203" i="4" s="1"/>
  <c r="H203" i="4"/>
  <c r="I203" i="4" s="1"/>
  <c r="L203" i="4" s="1"/>
  <c r="G203" i="4"/>
  <c r="D203" i="4"/>
  <c r="AK202" i="4"/>
  <c r="AN202" i="4" s="1"/>
  <c r="AE202" i="4"/>
  <c r="AH202" i="4" s="1"/>
  <c r="Z202" i="4"/>
  <c r="AD202" i="4" s="1"/>
  <c r="S202" i="4"/>
  <c r="Q202" i="4"/>
  <c r="R202" i="4" s="1"/>
  <c r="X202" i="4" s="1"/>
  <c r="H202" i="4"/>
  <c r="I202" i="4" s="1"/>
  <c r="L202" i="4" s="1"/>
  <c r="G202" i="4"/>
  <c r="D202" i="4"/>
  <c r="AK201" i="4"/>
  <c r="AN201" i="4" s="1"/>
  <c r="AH201" i="4"/>
  <c r="Z201" i="4"/>
  <c r="AD201" i="4" s="1"/>
  <c r="T201" i="4"/>
  <c r="S201" i="4"/>
  <c r="Q201" i="4"/>
  <c r="R201" i="4" s="1"/>
  <c r="H201" i="4"/>
  <c r="I201" i="4" s="1"/>
  <c r="L201" i="4" s="1"/>
  <c r="G201" i="4"/>
  <c r="D201" i="4"/>
  <c r="AK200" i="4"/>
  <c r="AN200" i="4" s="1"/>
  <c r="AH200" i="4"/>
  <c r="Z200" i="4"/>
  <c r="AD200" i="4" s="1"/>
  <c r="Q200" i="4"/>
  <c r="R200" i="4" s="1"/>
  <c r="X200" i="4" s="1"/>
  <c r="L200" i="4"/>
  <c r="N200" i="4" s="1"/>
  <c r="H200" i="4"/>
  <c r="G200" i="4"/>
  <c r="D200" i="4"/>
  <c r="AN199" i="4"/>
  <c r="AL199" i="4"/>
  <c r="AH199" i="4"/>
  <c r="Z199" i="4"/>
  <c r="AD199" i="4" s="1"/>
  <c r="Q199" i="4"/>
  <c r="R199" i="4" s="1"/>
  <c r="X199" i="4" s="1"/>
  <c r="H199" i="4"/>
  <c r="I199" i="4" s="1"/>
  <c r="L199" i="4" s="1"/>
  <c r="G199" i="4"/>
  <c r="D199" i="4"/>
  <c r="AK198" i="4"/>
  <c r="AL198" i="4" s="1"/>
  <c r="AH198" i="4"/>
  <c r="Z198" i="4"/>
  <c r="AD198" i="4" s="1"/>
  <c r="Q198" i="4"/>
  <c r="R198" i="4" s="1"/>
  <c r="X198" i="4" s="1"/>
  <c r="L198" i="4"/>
  <c r="N198" i="4" s="1"/>
  <c r="H198" i="4"/>
  <c r="G198" i="4"/>
  <c r="D198" i="4"/>
  <c r="AK197" i="4"/>
  <c r="AN197" i="4" s="1"/>
  <c r="AH197" i="4"/>
  <c r="Z197" i="4"/>
  <c r="AD197" i="4" s="1"/>
  <c r="Q197" i="4"/>
  <c r="R197" i="4" s="1"/>
  <c r="X197" i="4" s="1"/>
  <c r="L197" i="4"/>
  <c r="O197" i="4" s="1"/>
  <c r="H197" i="4"/>
  <c r="G197" i="4"/>
  <c r="D197" i="4"/>
  <c r="AN196" i="4"/>
  <c r="AL196" i="4"/>
  <c r="AH196" i="4"/>
  <c r="Z196" i="4"/>
  <c r="AD196" i="4" s="1"/>
  <c r="Q196" i="4"/>
  <c r="R196" i="4" s="1"/>
  <c r="X196" i="4" s="1"/>
  <c r="L196" i="4"/>
  <c r="O196" i="4" s="1"/>
  <c r="H196" i="4"/>
  <c r="G196" i="4"/>
  <c r="D196" i="4"/>
  <c r="AN195" i="4"/>
  <c r="AL195" i="4"/>
  <c r="AK195" i="4"/>
  <c r="AI195" i="4"/>
  <c r="AC195" i="4"/>
  <c r="Z195" i="4"/>
  <c r="Q195" i="4"/>
  <c r="R195" i="4" s="1"/>
  <c r="X195" i="4" s="1"/>
  <c r="L195" i="4"/>
  <c r="O195" i="4" s="1"/>
  <c r="H195" i="4"/>
  <c r="G195" i="4"/>
  <c r="D195" i="4"/>
  <c r="AK194" i="4"/>
  <c r="AL194" i="4" s="1"/>
  <c r="AH194" i="4"/>
  <c r="Z194" i="4"/>
  <c r="AD194" i="4" s="1"/>
  <c r="Q194" i="4"/>
  <c r="R194" i="4" s="1"/>
  <c r="X194" i="4" s="1"/>
  <c r="H194" i="4"/>
  <c r="I194" i="4" s="1"/>
  <c r="L194" i="4" s="1"/>
  <c r="C194" i="4"/>
  <c r="G194" i="4" s="1"/>
  <c r="AK193" i="4"/>
  <c r="AL193" i="4" s="1"/>
  <c r="AH193" i="4"/>
  <c r="Z193" i="4"/>
  <c r="AD193" i="4" s="1"/>
  <c r="Q193" i="4"/>
  <c r="R193" i="4" s="1"/>
  <c r="X193" i="4" s="1"/>
  <c r="L193" i="4"/>
  <c r="O193" i="4" s="1"/>
  <c r="H193" i="4"/>
  <c r="G193" i="4"/>
  <c r="D193" i="4"/>
  <c r="AK192" i="4"/>
  <c r="AL192" i="4" s="1"/>
  <c r="AI192" i="4"/>
  <c r="AH192" i="4"/>
  <c r="Z192" i="4"/>
  <c r="AD192" i="4" s="1"/>
  <c r="Q192" i="4"/>
  <c r="R192" i="4" s="1"/>
  <c r="X192" i="4" s="1"/>
  <c r="I192" i="4"/>
  <c r="L192" i="4" s="1"/>
  <c r="H192" i="4"/>
  <c r="G192" i="4"/>
  <c r="D192" i="4"/>
  <c r="AN191" i="4"/>
  <c r="AL191" i="4"/>
  <c r="AI191" i="4"/>
  <c r="AH191" i="4"/>
  <c r="Z191" i="4"/>
  <c r="AD191" i="4" s="1"/>
  <c r="S191" i="4"/>
  <c r="Q191" i="4"/>
  <c r="R191" i="4" s="1"/>
  <c r="L191" i="4"/>
  <c r="O191" i="4" s="1"/>
  <c r="H191" i="4"/>
  <c r="G191" i="4"/>
  <c r="D191" i="4"/>
  <c r="AN190" i="4"/>
  <c r="AL190" i="4"/>
  <c r="AF190" i="4"/>
  <c r="AH190" i="4" s="1"/>
  <c r="Z190" i="4"/>
  <c r="AD190" i="4" s="1"/>
  <c r="Q190" i="4"/>
  <c r="R190" i="4" s="1"/>
  <c r="X190" i="4" s="1"/>
  <c r="N190" i="4"/>
  <c r="L190" i="4"/>
  <c r="O190" i="4" s="1"/>
  <c r="H190" i="4"/>
  <c r="G190" i="4"/>
  <c r="D190" i="4"/>
  <c r="AK189" i="4"/>
  <c r="AL189" i="4" s="1"/>
  <c r="AE189" i="4"/>
  <c r="AH189" i="4" s="1"/>
  <c r="Z189" i="4"/>
  <c r="AD189" i="4" s="1"/>
  <c r="Q189" i="4"/>
  <c r="R189" i="4" s="1"/>
  <c r="X189" i="4" s="1"/>
  <c r="L189" i="4"/>
  <c r="O189" i="4" s="1"/>
  <c r="H189" i="4"/>
  <c r="G189" i="4"/>
  <c r="D189" i="4"/>
  <c r="AN188" i="4"/>
  <c r="AL188" i="4"/>
  <c r="AE188" i="4"/>
  <c r="AH188" i="4" s="1"/>
  <c r="Z188" i="4"/>
  <c r="AD188" i="4" s="1"/>
  <c r="Q188" i="4"/>
  <c r="R188" i="4" s="1"/>
  <c r="X188" i="4" s="1"/>
  <c r="L188" i="4"/>
  <c r="N188" i="4" s="1"/>
  <c r="H188" i="4"/>
  <c r="G188" i="4"/>
  <c r="D188" i="4"/>
  <c r="AN187" i="4"/>
  <c r="AL187" i="4"/>
  <c r="AE187" i="4"/>
  <c r="AH187" i="4" s="1"/>
  <c r="Z187" i="4"/>
  <c r="AD187" i="4" s="1"/>
  <c r="Q187" i="4"/>
  <c r="R187" i="4" s="1"/>
  <c r="X187" i="4" s="1"/>
  <c r="L187" i="4"/>
  <c r="N187" i="4" s="1"/>
  <c r="H187" i="4"/>
  <c r="G187" i="4"/>
  <c r="D187" i="4"/>
  <c r="AK186" i="4"/>
  <c r="AL186" i="4" s="1"/>
  <c r="AI186" i="4"/>
  <c r="AH186" i="4"/>
  <c r="AF186" i="4"/>
  <c r="Z186" i="4"/>
  <c r="AD186" i="4" s="1"/>
  <c r="R186" i="4"/>
  <c r="X186" i="4" s="1"/>
  <c r="Q186" i="4"/>
  <c r="L186" i="4"/>
  <c r="N186" i="4" s="1"/>
  <c r="H186" i="4"/>
  <c r="G186" i="4"/>
  <c r="D186" i="4"/>
  <c r="AK185" i="4"/>
  <c r="AN185" i="4" s="1"/>
  <c r="AH185" i="4"/>
  <c r="Z185" i="4"/>
  <c r="AD185" i="4" s="1"/>
  <c r="Q185" i="4"/>
  <c r="R185" i="4" s="1"/>
  <c r="X185" i="4" s="1"/>
  <c r="L185" i="4"/>
  <c r="N185" i="4" s="1"/>
  <c r="H185" i="4"/>
  <c r="G185" i="4"/>
  <c r="D185" i="4"/>
  <c r="AN184" i="4"/>
  <c r="AL184" i="4"/>
  <c r="AH184" i="4"/>
  <c r="Z184" i="4"/>
  <c r="AD184" i="4" s="1"/>
  <c r="Q184" i="4"/>
  <c r="R184" i="4" s="1"/>
  <c r="X184" i="4" s="1"/>
  <c r="H184" i="4"/>
  <c r="I184" i="4" s="1"/>
  <c r="L184" i="4" s="1"/>
  <c r="G184" i="4"/>
  <c r="D184" i="4"/>
  <c r="AN183" i="4"/>
  <c r="AL183" i="4"/>
  <c r="AI183" i="4"/>
  <c r="AE183" i="4"/>
  <c r="Z183" i="4"/>
  <c r="AD183" i="4" s="1"/>
  <c r="R183" i="4"/>
  <c r="X183" i="4" s="1"/>
  <c r="Q183" i="4"/>
  <c r="L183" i="4"/>
  <c r="N183" i="4" s="1"/>
  <c r="H183" i="4"/>
  <c r="G183" i="4"/>
  <c r="D183" i="4"/>
  <c r="AN182" i="4"/>
  <c r="AL182" i="4"/>
  <c r="AK182" i="4"/>
  <c r="AH182" i="4"/>
  <c r="Z182" i="4"/>
  <c r="AD182" i="4" s="1"/>
  <c r="Q182" i="4"/>
  <c r="R182" i="4" s="1"/>
  <c r="X182" i="4" s="1"/>
  <c r="L182" i="4"/>
  <c r="O182" i="4" s="1"/>
  <c r="H182" i="4"/>
  <c r="G182" i="4"/>
  <c r="D182" i="4"/>
  <c r="AK181" i="4"/>
  <c r="AN181" i="4" s="1"/>
  <c r="AI181" i="4"/>
  <c r="AH181" i="4"/>
  <c r="Z181" i="4"/>
  <c r="AD181" i="4" s="1"/>
  <c r="Q181" i="4"/>
  <c r="R181" i="4" s="1"/>
  <c r="X181" i="4" s="1"/>
  <c r="I181" i="4"/>
  <c r="L181" i="4" s="1"/>
  <c r="H181" i="4"/>
  <c r="G181" i="4"/>
  <c r="D181" i="4"/>
  <c r="AN180" i="4"/>
  <c r="AL180" i="4"/>
  <c r="AI180" i="4"/>
  <c r="AH180" i="4"/>
  <c r="Z180" i="4"/>
  <c r="AD180" i="4" s="1"/>
  <c r="Q180" i="4"/>
  <c r="R180" i="4" s="1"/>
  <c r="X180" i="4" s="1"/>
  <c r="I180" i="4"/>
  <c r="L180" i="4" s="1"/>
  <c r="H180" i="4"/>
  <c r="G180" i="4"/>
  <c r="D180" i="4"/>
  <c r="AK179" i="4"/>
  <c r="AL179" i="4" s="1"/>
  <c r="AI179" i="4"/>
  <c r="AH179" i="4"/>
  <c r="Z179" i="4"/>
  <c r="AD179" i="4" s="1"/>
  <c r="R179" i="4"/>
  <c r="X179" i="4" s="1"/>
  <c r="Q179" i="4"/>
  <c r="H179" i="4"/>
  <c r="I179" i="4" s="1"/>
  <c r="L179" i="4" s="1"/>
  <c r="N179" i="4" s="1"/>
  <c r="G179" i="4"/>
  <c r="D179" i="4"/>
  <c r="AK178" i="4"/>
  <c r="AN178" i="4" s="1"/>
  <c r="AE178" i="4"/>
  <c r="AH178" i="4" s="1"/>
  <c r="Z178" i="4"/>
  <c r="AD178" i="4" s="1"/>
  <c r="R178" i="4"/>
  <c r="X178" i="4" s="1"/>
  <c r="Q178" i="4"/>
  <c r="L178" i="4"/>
  <c r="H178" i="4"/>
  <c r="G178" i="4"/>
  <c r="D178" i="4"/>
  <c r="AK177" i="4"/>
  <c r="AN177" i="4" s="1"/>
  <c r="AH177" i="4"/>
  <c r="AE177" i="4"/>
  <c r="Z177" i="4"/>
  <c r="AD177" i="4" s="1"/>
  <c r="Q177" i="4"/>
  <c r="R177" i="4" s="1"/>
  <c r="X177" i="4" s="1"/>
  <c r="O177" i="4"/>
  <c r="N177" i="4"/>
  <c r="L177" i="4"/>
  <c r="H177" i="4"/>
  <c r="G177" i="4"/>
  <c r="D177" i="4"/>
  <c r="AK176" i="4"/>
  <c r="AN176" i="4" s="1"/>
  <c r="AH176" i="4"/>
  <c r="Z176" i="4"/>
  <c r="AD176" i="4" s="1"/>
  <c r="R176" i="4"/>
  <c r="X176" i="4" s="1"/>
  <c r="Q176" i="4"/>
  <c r="I176" i="4"/>
  <c r="L176" i="4" s="1"/>
  <c r="N176" i="4" s="1"/>
  <c r="H176" i="4"/>
  <c r="G176" i="4"/>
  <c r="D176" i="4"/>
  <c r="AN175" i="4"/>
  <c r="AL175" i="4"/>
  <c r="AH175" i="4"/>
  <c r="Z175" i="4"/>
  <c r="AD175" i="4" s="1"/>
  <c r="Q175" i="4"/>
  <c r="R175" i="4" s="1"/>
  <c r="X175" i="4" s="1"/>
  <c r="H175" i="4"/>
  <c r="I175" i="4" s="1"/>
  <c r="L175" i="4" s="1"/>
  <c r="G175" i="4"/>
  <c r="D175" i="4"/>
  <c r="AN174" i="4"/>
  <c r="AL174" i="4"/>
  <c r="AH174" i="4"/>
  <c r="Q174" i="4"/>
  <c r="R174" i="4" s="1"/>
  <c r="X174" i="4" s="1"/>
  <c r="L174" i="4"/>
  <c r="H174" i="4"/>
  <c r="G174" i="4"/>
  <c r="D174" i="4"/>
  <c r="Z174" i="4" s="1"/>
  <c r="AD174" i="4" s="1"/>
  <c r="AN173" i="4"/>
  <c r="AL173" i="4"/>
  <c r="AE173" i="4"/>
  <c r="AH173" i="4" s="1"/>
  <c r="Z173" i="4"/>
  <c r="AD173" i="4" s="1"/>
  <c r="Q173" i="4"/>
  <c r="R173" i="4" s="1"/>
  <c r="X173" i="4" s="1"/>
  <c r="L173" i="4"/>
  <c r="H173" i="4"/>
  <c r="G173" i="4"/>
  <c r="D173" i="4"/>
  <c r="AK172" i="4"/>
  <c r="AN172" i="4" s="1"/>
  <c r="AH172" i="4"/>
  <c r="AD172" i="4"/>
  <c r="Z172" i="4"/>
  <c r="Q172" i="4"/>
  <c r="R172" i="4" s="1"/>
  <c r="X172" i="4" s="1"/>
  <c r="H172" i="4"/>
  <c r="I172" i="4" s="1"/>
  <c r="L172" i="4" s="1"/>
  <c r="N172" i="4" s="1"/>
  <c r="G172" i="4"/>
  <c r="D172" i="4"/>
  <c r="AN171" i="4"/>
  <c r="AL171" i="4"/>
  <c r="AE171" i="4"/>
  <c r="AH171" i="4" s="1"/>
  <c r="Z171" i="4"/>
  <c r="AD171" i="4" s="1"/>
  <c r="Q171" i="4"/>
  <c r="R171" i="4" s="1"/>
  <c r="X171" i="4" s="1"/>
  <c r="H171" i="4"/>
  <c r="I171" i="4" s="1"/>
  <c r="L171" i="4" s="1"/>
  <c r="N171" i="4" s="1"/>
  <c r="G171" i="4"/>
  <c r="D171" i="4"/>
  <c r="AK170" i="4"/>
  <c r="AN170" i="4" s="1"/>
  <c r="AH170" i="4"/>
  <c r="AE170" i="4"/>
  <c r="Z170" i="4"/>
  <c r="AD170" i="4" s="1"/>
  <c r="Q170" i="4"/>
  <c r="R170" i="4" s="1"/>
  <c r="X170" i="4" s="1"/>
  <c r="H170" i="4"/>
  <c r="I170" i="4" s="1"/>
  <c r="L170" i="4" s="1"/>
  <c r="C170" i="4"/>
  <c r="D170" i="4" s="1"/>
  <c r="AN169" i="4"/>
  <c r="AL169" i="4"/>
  <c r="AK169" i="4"/>
  <c r="AI169" i="4"/>
  <c r="AE169" i="4"/>
  <c r="AH169" i="4" s="1"/>
  <c r="Z169" i="4"/>
  <c r="AD169" i="4" s="1"/>
  <c r="Q169" i="4"/>
  <c r="R169" i="4" s="1"/>
  <c r="X169" i="4" s="1"/>
  <c r="L169" i="4"/>
  <c r="N169" i="4" s="1"/>
  <c r="H169" i="4"/>
  <c r="I169" i="4" s="1"/>
  <c r="G169" i="4"/>
  <c r="D169" i="4"/>
  <c r="AK168" i="4"/>
  <c r="AN168" i="4" s="1"/>
  <c r="AI168" i="4"/>
  <c r="AH168" i="4"/>
  <c r="AA168" i="4"/>
  <c r="Z168" i="4"/>
  <c r="Q168" i="4"/>
  <c r="R168" i="4" s="1"/>
  <c r="X168" i="4" s="1"/>
  <c r="H168" i="4"/>
  <c r="I168" i="4" s="1"/>
  <c r="L168" i="4" s="1"/>
  <c r="G168" i="4"/>
  <c r="D168" i="4"/>
  <c r="AK167" i="4"/>
  <c r="AI167" i="4"/>
  <c r="AH167" i="4"/>
  <c r="Z167" i="4"/>
  <c r="AD167" i="4" s="1"/>
  <c r="Q167" i="4"/>
  <c r="R167" i="4" s="1"/>
  <c r="X167" i="4" s="1"/>
  <c r="H167" i="4"/>
  <c r="I167" i="4" s="1"/>
  <c r="L167" i="4" s="1"/>
  <c r="G167" i="4"/>
  <c r="D167" i="4"/>
  <c r="AN166" i="4"/>
  <c r="AL166" i="4"/>
  <c r="AI166" i="4"/>
  <c r="AH166" i="4"/>
  <c r="AD166" i="4"/>
  <c r="AN165" i="4"/>
  <c r="AL165" i="4"/>
  <c r="AI165" i="4"/>
  <c r="AH165" i="4"/>
  <c r="Z165" i="4"/>
  <c r="AD165" i="4" s="1"/>
  <c r="Q165" i="4"/>
  <c r="R165" i="4" s="1"/>
  <c r="X165" i="4" s="1"/>
  <c r="L165" i="4"/>
  <c r="N165" i="4" s="1"/>
  <c r="H165" i="4"/>
  <c r="G165" i="4"/>
  <c r="D165" i="4"/>
  <c r="AK164" i="4"/>
  <c r="AN164" i="4" s="1"/>
  <c r="AH164" i="4"/>
  <c r="Z164" i="4"/>
  <c r="AD164" i="4" s="1"/>
  <c r="X164" i="4"/>
  <c r="AN163" i="4"/>
  <c r="AL163" i="4"/>
  <c r="AH163" i="4"/>
  <c r="Z163" i="4"/>
  <c r="AD163" i="4" s="1"/>
  <c r="Q163" i="4"/>
  <c r="R163" i="4" s="1"/>
  <c r="X163" i="4" s="1"/>
  <c r="H163" i="4"/>
  <c r="I163" i="4" s="1"/>
  <c r="L163" i="4" s="1"/>
  <c r="G163" i="4"/>
  <c r="D163" i="4"/>
  <c r="AK162" i="4"/>
  <c r="AL162" i="4" s="1"/>
  <c r="AE162" i="4"/>
  <c r="AH162" i="4" s="1"/>
  <c r="Z162" i="4"/>
  <c r="AD162" i="4" s="1"/>
  <c r="Q162" i="4"/>
  <c r="R162" i="4" s="1"/>
  <c r="X162" i="4" s="1"/>
  <c r="H162" i="4"/>
  <c r="I162" i="4" s="1"/>
  <c r="J162" i="4" s="1"/>
  <c r="C162" i="4"/>
  <c r="D162" i="4" s="1"/>
  <c r="AN161" i="4"/>
  <c r="AL161" i="4"/>
  <c r="AE161" i="4"/>
  <c r="AH161" i="4" s="1"/>
  <c r="Z161" i="4"/>
  <c r="AD161" i="4" s="1"/>
  <c r="Q161" i="4"/>
  <c r="R161" i="4" s="1"/>
  <c r="X161" i="4" s="1"/>
  <c r="H161" i="4"/>
  <c r="I161" i="4" s="1"/>
  <c r="L161" i="4" s="1"/>
  <c r="N161" i="4" s="1"/>
  <c r="G161" i="4"/>
  <c r="D161" i="4"/>
  <c r="AN160" i="4"/>
  <c r="AL160" i="4"/>
  <c r="AE160" i="4"/>
  <c r="AH160" i="4" s="1"/>
  <c r="Z160" i="4"/>
  <c r="AD160" i="4" s="1"/>
  <c r="L160" i="4"/>
  <c r="O160" i="4" s="1"/>
  <c r="H160" i="4"/>
  <c r="G160" i="4"/>
  <c r="D160" i="4"/>
  <c r="P160" i="4" s="1"/>
  <c r="Q160" i="4" s="1"/>
  <c r="R160" i="4" s="1"/>
  <c r="X160" i="4" s="1"/>
  <c r="AN159" i="4"/>
  <c r="AL159" i="4"/>
  <c r="AE159" i="4"/>
  <c r="AH159" i="4" s="1"/>
  <c r="Z159" i="4"/>
  <c r="AD159" i="4" s="1"/>
  <c r="O159" i="4"/>
  <c r="L159" i="4"/>
  <c r="N159" i="4" s="1"/>
  <c r="H159" i="4"/>
  <c r="G159" i="4"/>
  <c r="D159" i="4"/>
  <c r="P159" i="4" s="1"/>
  <c r="AK158" i="4"/>
  <c r="AN158" i="4" s="1"/>
  <c r="AE158" i="4"/>
  <c r="AH158" i="4" s="1"/>
  <c r="Z158" i="4"/>
  <c r="AD158" i="4" s="1"/>
  <c r="R158" i="4"/>
  <c r="X158" i="4" s="1"/>
  <c r="Q158" i="4"/>
  <c r="N158" i="4"/>
  <c r="L158" i="4"/>
  <c r="O158" i="4" s="1"/>
  <c r="H158" i="4"/>
  <c r="G158" i="4"/>
  <c r="D158" i="4"/>
  <c r="AK157" i="4"/>
  <c r="AN157" i="4" s="1"/>
  <c r="AI157" i="4"/>
  <c r="AH157" i="4"/>
  <c r="Z157" i="4"/>
  <c r="AD157" i="4" s="1"/>
  <c r="Q157" i="4"/>
  <c r="R157" i="4" s="1"/>
  <c r="X157" i="4" s="1"/>
  <c r="O157" i="4"/>
  <c r="L157" i="4"/>
  <c r="N157" i="4" s="1"/>
  <c r="H157" i="4"/>
  <c r="G157" i="4"/>
  <c r="D157" i="4"/>
  <c r="AK156" i="4"/>
  <c r="AN156" i="4" s="1"/>
  <c r="AI156" i="4"/>
  <c r="AG156" i="4"/>
  <c r="AH156" i="4" s="1"/>
  <c r="Z156" i="4"/>
  <c r="AD156" i="4" s="1"/>
  <c r="Q156" i="4"/>
  <c r="R156" i="4" s="1"/>
  <c r="X156" i="4" s="1"/>
  <c r="L156" i="4"/>
  <c r="O156" i="4" s="1"/>
  <c r="H156" i="4"/>
  <c r="G156" i="4"/>
  <c r="D156" i="4"/>
  <c r="C156" i="4"/>
  <c r="AK155" i="4"/>
  <c r="AG155" i="4"/>
  <c r="AH155" i="4" s="1"/>
  <c r="Z155" i="4"/>
  <c r="AD155" i="4" s="1"/>
  <c r="S155" i="4"/>
  <c r="Q155" i="4"/>
  <c r="R155" i="4" s="1"/>
  <c r="X155" i="4" s="1"/>
  <c r="L155" i="4"/>
  <c r="N155" i="4" s="1"/>
  <c r="H155" i="4"/>
  <c r="G155" i="4"/>
  <c r="D155" i="4"/>
  <c r="AK154" i="4"/>
  <c r="AN154" i="4" s="1"/>
  <c r="AE154" i="4"/>
  <c r="AH154" i="4" s="1"/>
  <c r="Z154" i="4"/>
  <c r="AD154" i="4" s="1"/>
  <c r="Q154" i="4"/>
  <c r="R154" i="4" s="1"/>
  <c r="X154" i="4" s="1"/>
  <c r="L154" i="4"/>
  <c r="N154" i="4" s="1"/>
  <c r="H154" i="4"/>
  <c r="G154" i="4"/>
  <c r="D154" i="4"/>
  <c r="AN153" i="4"/>
  <c r="AL153" i="4"/>
  <c r="AK153" i="4"/>
  <c r="AI153" i="4"/>
  <c r="AH153" i="4"/>
  <c r="AD153" i="4"/>
  <c r="Z153" i="4"/>
  <c r="Q153" i="4"/>
  <c r="R153" i="4" s="1"/>
  <c r="X153" i="4" s="1"/>
  <c r="L153" i="4"/>
  <c r="N153" i="4" s="1"/>
  <c r="H153" i="4"/>
  <c r="C153" i="4"/>
  <c r="D153" i="4" s="1"/>
  <c r="AN152" i="4"/>
  <c r="AL152" i="4"/>
  <c r="AH152" i="4"/>
  <c r="Z152" i="4"/>
  <c r="AD152" i="4" s="1"/>
  <c r="Q152" i="4"/>
  <c r="R152" i="4" s="1"/>
  <c r="X152" i="4" s="1"/>
  <c r="L152" i="4"/>
  <c r="O152" i="4" s="1"/>
  <c r="H152" i="4"/>
  <c r="G152" i="4"/>
  <c r="D152" i="4"/>
  <c r="AK151" i="4"/>
  <c r="AN151" i="4" s="1"/>
  <c r="AI151" i="4"/>
  <c r="AF151" i="4"/>
  <c r="AE151" i="4"/>
  <c r="Z151" i="4"/>
  <c r="AD151" i="4" s="1"/>
  <c r="Q151" i="4"/>
  <c r="R151" i="4" s="1"/>
  <c r="X151" i="4" s="1"/>
  <c r="L151" i="4"/>
  <c r="O151" i="4" s="1"/>
  <c r="H151" i="4"/>
  <c r="C151" i="4"/>
  <c r="D151" i="4" s="1"/>
  <c r="AN150" i="4"/>
  <c r="AL150" i="4"/>
  <c r="AH150" i="4"/>
  <c r="AD150" i="4"/>
  <c r="Z150" i="4"/>
  <c r="Q150" i="4"/>
  <c r="R150" i="4" s="1"/>
  <c r="X150" i="4" s="1"/>
  <c r="L150" i="4"/>
  <c r="H150" i="4"/>
  <c r="G150" i="4"/>
  <c r="D150" i="4"/>
  <c r="AK149" i="4"/>
  <c r="AN149" i="4" s="1"/>
  <c r="AE149" i="4"/>
  <c r="AH149" i="4" s="1"/>
  <c r="Z149" i="4"/>
  <c r="AD149" i="4" s="1"/>
  <c r="Q149" i="4"/>
  <c r="R149" i="4" s="1"/>
  <c r="X149" i="4" s="1"/>
  <c r="L149" i="4"/>
  <c r="H149" i="4"/>
  <c r="C149" i="4"/>
  <c r="G149" i="4" s="1"/>
  <c r="AK148" i="4"/>
  <c r="AE148" i="4"/>
  <c r="AH148" i="4" s="1"/>
  <c r="Z148" i="4"/>
  <c r="AD148" i="4" s="1"/>
  <c r="Q148" i="4"/>
  <c r="R148" i="4" s="1"/>
  <c r="X148" i="4" s="1"/>
  <c r="O148" i="4"/>
  <c r="L148" i="4"/>
  <c r="N148" i="4" s="1"/>
  <c r="H148" i="4"/>
  <c r="G148" i="4"/>
  <c r="D148" i="4"/>
  <c r="AN147" i="4"/>
  <c r="AL147" i="4"/>
  <c r="AI147" i="4"/>
  <c r="AH147" i="4"/>
  <c r="Z147" i="4"/>
  <c r="AD147" i="4" s="1"/>
  <c r="Q147" i="4"/>
  <c r="R147" i="4" s="1"/>
  <c r="X147" i="4" s="1"/>
  <c r="L147" i="4"/>
  <c r="O147" i="4" s="1"/>
  <c r="H147" i="4"/>
  <c r="G147" i="4"/>
  <c r="D147" i="4"/>
  <c r="AN146" i="4"/>
  <c r="AL146" i="4"/>
  <c r="AE146" i="4"/>
  <c r="AH146" i="4" s="1"/>
  <c r="Z146" i="4"/>
  <c r="AD146" i="4" s="1"/>
  <c r="Q146" i="4"/>
  <c r="R146" i="4" s="1"/>
  <c r="X146" i="4" s="1"/>
  <c r="L146" i="4"/>
  <c r="N146" i="4" s="1"/>
  <c r="H146" i="4"/>
  <c r="G146" i="4"/>
  <c r="D146" i="4"/>
  <c r="AN145" i="4"/>
  <c r="AL145" i="4"/>
  <c r="AH145" i="4"/>
  <c r="Z145" i="4"/>
  <c r="AD145" i="4" s="1"/>
  <c r="R145" i="4"/>
  <c r="X145" i="4" s="1"/>
  <c r="Q145" i="4"/>
  <c r="L145" i="4"/>
  <c r="H145" i="4"/>
  <c r="G145" i="4"/>
  <c r="D145" i="4"/>
  <c r="AK144" i="4"/>
  <c r="AL144" i="4" s="1"/>
  <c r="AH144" i="4"/>
  <c r="AD144" i="4"/>
  <c r="Z144" i="4"/>
  <c r="Q144" i="4"/>
  <c r="R144" i="4" s="1"/>
  <c r="X144" i="4" s="1"/>
  <c r="L144" i="4"/>
  <c r="O144" i="4" s="1"/>
  <c r="H144" i="4"/>
  <c r="C144" i="4"/>
  <c r="AK143" i="4"/>
  <c r="AL143" i="4" s="1"/>
  <c r="AE143" i="4"/>
  <c r="AH143" i="4" s="1"/>
  <c r="Z143" i="4"/>
  <c r="AD143" i="4" s="1"/>
  <c r="Q143" i="4"/>
  <c r="R143" i="4" s="1"/>
  <c r="X143" i="4" s="1"/>
  <c r="L143" i="4"/>
  <c r="O143" i="4" s="1"/>
  <c r="H143" i="4"/>
  <c r="G143" i="4"/>
  <c r="D143" i="4"/>
  <c r="AK142" i="4"/>
  <c r="AE142" i="4"/>
  <c r="AH142" i="4" s="1"/>
  <c r="Z142" i="4"/>
  <c r="AD142" i="4" s="1"/>
  <c r="Q142" i="4"/>
  <c r="R142" i="4" s="1"/>
  <c r="X142" i="4" s="1"/>
  <c r="L142" i="4"/>
  <c r="N142" i="4" s="1"/>
  <c r="H142" i="4"/>
  <c r="G142" i="4"/>
  <c r="D142" i="4"/>
  <c r="AN141" i="4"/>
  <c r="AL141" i="4"/>
  <c r="AH141" i="4"/>
  <c r="Z141" i="4"/>
  <c r="AD141" i="4" s="1"/>
  <c r="S141" i="4"/>
  <c r="Q141" i="4"/>
  <c r="R141" i="4" s="1"/>
  <c r="X141" i="4" s="1"/>
  <c r="L141" i="4"/>
  <c r="N141" i="4" s="1"/>
  <c r="H141" i="4"/>
  <c r="G141" i="4"/>
  <c r="D141" i="4"/>
  <c r="AN140" i="4"/>
  <c r="AL140" i="4"/>
  <c r="AF140" i="4"/>
  <c r="AH140" i="4" s="1"/>
  <c r="Z140" i="4"/>
  <c r="AD140" i="4" s="1"/>
  <c r="Q140" i="4"/>
  <c r="R140" i="4" s="1"/>
  <c r="X140" i="4" s="1"/>
  <c r="N140" i="4"/>
  <c r="L140" i="4"/>
  <c r="O140" i="4" s="1"/>
  <c r="H140" i="4"/>
  <c r="G140" i="4"/>
  <c r="D140" i="4"/>
  <c r="AN139" i="4"/>
  <c r="AL139" i="4"/>
  <c r="AH139" i="4"/>
  <c r="AD139" i="4"/>
  <c r="Z139" i="4"/>
  <c r="R139" i="4"/>
  <c r="X139" i="4" s="1"/>
  <c r="Q139" i="4"/>
  <c r="L139" i="4"/>
  <c r="O139" i="4" s="1"/>
  <c r="H139" i="4"/>
  <c r="G139" i="4"/>
  <c r="D139" i="4"/>
  <c r="AL138" i="4"/>
  <c r="AK138" i="4"/>
  <c r="AN138" i="4" s="1"/>
  <c r="AH138" i="4"/>
  <c r="Z138" i="4"/>
  <c r="AD138" i="4" s="1"/>
  <c r="Q138" i="4"/>
  <c r="R138" i="4" s="1"/>
  <c r="X138" i="4" s="1"/>
  <c r="L138" i="4"/>
  <c r="N138" i="4" s="1"/>
  <c r="H138" i="4"/>
  <c r="G138" i="4"/>
  <c r="D138" i="4"/>
  <c r="AN137" i="4"/>
  <c r="AL137" i="4"/>
  <c r="AH137" i="4"/>
  <c r="Z137" i="4"/>
  <c r="AD137" i="4" s="1"/>
  <c r="R137" i="4"/>
  <c r="X137" i="4" s="1"/>
  <c r="Q137" i="4"/>
  <c r="L137" i="4"/>
  <c r="O137" i="4" s="1"/>
  <c r="H137" i="4"/>
  <c r="G137" i="4"/>
  <c r="D137" i="4"/>
  <c r="AK136" i="4"/>
  <c r="AL136" i="4" s="1"/>
  <c r="AE136" i="4"/>
  <c r="AH136" i="4" s="1"/>
  <c r="Z136" i="4"/>
  <c r="AD136" i="4" s="1"/>
  <c r="Q136" i="4"/>
  <c r="R136" i="4" s="1"/>
  <c r="X136" i="4" s="1"/>
  <c r="L136" i="4"/>
  <c r="O136" i="4" s="1"/>
  <c r="H136" i="4"/>
  <c r="G136" i="4"/>
  <c r="D136" i="4"/>
  <c r="AK135" i="4"/>
  <c r="AL135" i="4" s="1"/>
  <c r="AH135" i="4"/>
  <c r="Z135" i="4"/>
  <c r="AD135" i="4" s="1"/>
  <c r="Q135" i="4"/>
  <c r="R135" i="4" s="1"/>
  <c r="X135" i="4" s="1"/>
  <c r="L135" i="4"/>
  <c r="O135" i="4" s="1"/>
  <c r="H135" i="4"/>
  <c r="G135" i="4"/>
  <c r="D135" i="4"/>
  <c r="AK134" i="4"/>
  <c r="AI134" i="4"/>
  <c r="AH134" i="4"/>
  <c r="Z134" i="4"/>
  <c r="AD134" i="4" s="1"/>
  <c r="Q134" i="4"/>
  <c r="R134" i="4" s="1"/>
  <c r="X134" i="4" s="1"/>
  <c r="L134" i="4"/>
  <c r="H134" i="4"/>
  <c r="G134" i="4"/>
  <c r="D134" i="4"/>
  <c r="AK133" i="4"/>
  <c r="AL133" i="4" s="1"/>
  <c r="AI133" i="4"/>
  <c r="AH133" i="4"/>
  <c r="Z133" i="4"/>
  <c r="AD133" i="4" s="1"/>
  <c r="Q133" i="4"/>
  <c r="R133" i="4" s="1"/>
  <c r="X133" i="4" s="1"/>
  <c r="L133" i="4"/>
  <c r="O133" i="4" s="1"/>
  <c r="H133" i="4"/>
  <c r="G133" i="4"/>
  <c r="D133" i="4"/>
  <c r="AN132" i="4"/>
  <c r="AL132" i="4"/>
  <c r="AH132" i="4"/>
  <c r="AA132" i="4"/>
  <c r="Z132" i="4"/>
  <c r="U132" i="4"/>
  <c r="X132" i="4" s="1"/>
  <c r="AN131" i="4"/>
  <c r="AL131" i="4"/>
  <c r="AN130" i="4"/>
  <c r="AL130" i="4"/>
  <c r="AH130" i="4"/>
  <c r="AD130" i="4"/>
  <c r="Q130" i="4"/>
  <c r="R130" i="4" s="1"/>
  <c r="X130" i="4" s="1"/>
  <c r="L130" i="4"/>
  <c r="N130" i="4" s="1"/>
  <c r="H130" i="4"/>
  <c r="G130" i="4"/>
  <c r="D130" i="4"/>
  <c r="AN129" i="4"/>
  <c r="AL129" i="4"/>
  <c r="AH129" i="4"/>
  <c r="Q129" i="4"/>
  <c r="R129" i="4" s="1"/>
  <c r="X129" i="4" s="1"/>
  <c r="H129" i="4"/>
  <c r="I129" i="4" s="1"/>
  <c r="L129" i="4" s="1"/>
  <c r="O129" i="4" s="1"/>
  <c r="G129" i="4"/>
  <c r="D129" i="4"/>
  <c r="Z129" i="4" s="1"/>
  <c r="AD129" i="4" s="1"/>
  <c r="AN128" i="4"/>
  <c r="AL128" i="4"/>
  <c r="AI128" i="4"/>
  <c r="AG128" i="4"/>
  <c r="AF128" i="4"/>
  <c r="AE128" i="4"/>
  <c r="AA128" i="4"/>
  <c r="AD128" i="4" s="1"/>
  <c r="Q128" i="4"/>
  <c r="R128" i="4" s="1"/>
  <c r="X128" i="4" s="1"/>
  <c r="L128" i="4"/>
  <c r="N128" i="4" s="1"/>
  <c r="H128" i="4"/>
  <c r="G128" i="4"/>
  <c r="D128" i="4"/>
  <c r="AN127" i="4"/>
  <c r="AL127" i="4"/>
  <c r="AH127" i="4"/>
  <c r="Z127" i="4"/>
  <c r="AD127" i="4" s="1"/>
  <c r="Q127" i="4"/>
  <c r="R127" i="4" s="1"/>
  <c r="X127" i="4" s="1"/>
  <c r="L127" i="4"/>
  <c r="N127" i="4" s="1"/>
  <c r="AN126" i="4"/>
  <c r="AL126" i="4"/>
  <c r="AH126" i="4"/>
  <c r="Z126" i="4"/>
  <c r="AD126" i="4" s="1"/>
  <c r="Q126" i="4"/>
  <c r="R126" i="4" s="1"/>
  <c r="X126" i="4" s="1"/>
  <c r="L126" i="4"/>
  <c r="N126" i="4" s="1"/>
  <c r="AN125" i="4"/>
  <c r="AL125" i="4"/>
  <c r="AI125" i="4"/>
  <c r="AH125" i="4"/>
  <c r="Z125" i="4"/>
  <c r="AD125" i="4" s="1"/>
  <c r="Q125" i="4"/>
  <c r="R125" i="4" s="1"/>
  <c r="X125" i="4" s="1"/>
  <c r="L125" i="4"/>
  <c r="N125" i="4" s="1"/>
  <c r="H125" i="4"/>
  <c r="AN124" i="4"/>
  <c r="AL124" i="4"/>
  <c r="AI124" i="4"/>
  <c r="AH124" i="4"/>
  <c r="Q124" i="4"/>
  <c r="R124" i="4" s="1"/>
  <c r="X124" i="4" s="1"/>
  <c r="L124" i="4"/>
  <c r="H124" i="4"/>
  <c r="G124" i="4"/>
  <c r="D124" i="4"/>
  <c r="Z124" i="4" s="1"/>
  <c r="AD124" i="4" s="1"/>
  <c r="AN123" i="4"/>
  <c r="AL123" i="4"/>
  <c r="AH123" i="4"/>
  <c r="Z123" i="4"/>
  <c r="AD123" i="4" s="1"/>
  <c r="Q123" i="4"/>
  <c r="R123" i="4" s="1"/>
  <c r="X123" i="4" s="1"/>
  <c r="L123" i="4"/>
  <c r="N123" i="4" s="1"/>
  <c r="G123" i="4"/>
  <c r="D123" i="4"/>
  <c r="AN122" i="4"/>
  <c r="AL122" i="4"/>
  <c r="AK122" i="4"/>
  <c r="AI122" i="4"/>
  <c r="AH122" i="4"/>
  <c r="Q122" i="4"/>
  <c r="R122" i="4" s="1"/>
  <c r="X122" i="4" s="1"/>
  <c r="L122" i="4"/>
  <c r="O122" i="4" s="1"/>
  <c r="H122" i="4"/>
  <c r="G122" i="4"/>
  <c r="D122" i="4"/>
  <c r="Z122" i="4" s="1"/>
  <c r="AD122" i="4" s="1"/>
  <c r="AN121" i="4"/>
  <c r="AL121" i="4"/>
  <c r="AH121" i="4"/>
  <c r="Z121" i="4"/>
  <c r="AD121" i="4" s="1"/>
  <c r="Q121" i="4"/>
  <c r="R121" i="4" s="1"/>
  <c r="X121" i="4" s="1"/>
  <c r="L121" i="4"/>
  <c r="N121" i="4" s="1"/>
  <c r="H121" i="4"/>
  <c r="G121" i="4"/>
  <c r="D121" i="4"/>
  <c r="AN120" i="4"/>
  <c r="AL120" i="4"/>
  <c r="AH120" i="4"/>
  <c r="Q120" i="4"/>
  <c r="R120" i="4" s="1"/>
  <c r="S120" i="4" s="1"/>
  <c r="L120" i="4"/>
  <c r="H120" i="4"/>
  <c r="G120" i="4"/>
  <c r="D120" i="4"/>
  <c r="Z120" i="4" s="1"/>
  <c r="AD120" i="4" s="1"/>
  <c r="AN119" i="4"/>
  <c r="AL119" i="4"/>
  <c r="AI119" i="4"/>
  <c r="AH119" i="4"/>
  <c r="Z119" i="4"/>
  <c r="AD119" i="4" s="1"/>
  <c r="Q119" i="4"/>
  <c r="R119" i="4" s="1"/>
  <c r="X119" i="4" s="1"/>
  <c r="L119" i="4"/>
  <c r="N119" i="4" s="1"/>
  <c r="H119" i="4"/>
  <c r="G119" i="4"/>
  <c r="D119" i="4"/>
  <c r="AN118" i="4"/>
  <c r="AL118" i="4"/>
  <c r="AH118" i="4"/>
  <c r="AD118" i="4"/>
  <c r="Q118" i="4"/>
  <c r="R118" i="4" s="1"/>
  <c r="X118" i="4" s="1"/>
  <c r="L118" i="4"/>
  <c r="O118" i="4" s="1"/>
  <c r="H118" i="4"/>
  <c r="G118" i="4"/>
  <c r="D118" i="4"/>
  <c r="AN117" i="4"/>
  <c r="AL117" i="4"/>
  <c r="AH117" i="4"/>
  <c r="AD117" i="4"/>
  <c r="Q117" i="4"/>
  <c r="R117" i="4" s="1"/>
  <c r="X117" i="4" s="1"/>
  <c r="L117" i="4"/>
  <c r="O117" i="4" s="1"/>
  <c r="H117" i="4"/>
  <c r="G117" i="4"/>
  <c r="D117" i="4"/>
  <c r="AN116" i="4"/>
  <c r="AL116" i="4"/>
  <c r="AH116" i="4"/>
  <c r="AD116" i="4"/>
  <c r="Q116" i="4"/>
  <c r="R116" i="4" s="1"/>
  <c r="X116" i="4" s="1"/>
  <c r="L116" i="4"/>
  <c r="O116" i="4" s="1"/>
  <c r="H116" i="4"/>
  <c r="G116" i="4"/>
  <c r="D116" i="4"/>
  <c r="AN115" i="4"/>
  <c r="AL115" i="4"/>
  <c r="AH115" i="4"/>
  <c r="AD115" i="4"/>
  <c r="Q115" i="4"/>
  <c r="R115" i="4" s="1"/>
  <c r="X115" i="4" s="1"/>
  <c r="L115" i="4"/>
  <c r="O115" i="4" s="1"/>
  <c r="H115" i="4"/>
  <c r="G115" i="4"/>
  <c r="D115" i="4"/>
  <c r="AN114" i="4"/>
  <c r="AL114" i="4"/>
  <c r="AE114" i="4"/>
  <c r="AH114" i="4" s="1"/>
  <c r="Z114" i="4"/>
  <c r="AD114" i="4" s="1"/>
  <c r="X114" i="4"/>
  <c r="F114" i="4"/>
  <c r="F281" i="4" s="1"/>
  <c r="E114" i="4"/>
  <c r="E281" i="4" s="1"/>
  <c r="C114" i="4"/>
  <c r="AK113" i="4"/>
  <c r="AL113" i="4" s="1"/>
  <c r="AH113" i="4"/>
  <c r="Q113" i="4"/>
  <c r="R113" i="4" s="1"/>
  <c r="X113" i="4" s="1"/>
  <c r="L113" i="4"/>
  <c r="O113" i="4" s="1"/>
  <c r="H113" i="4"/>
  <c r="G113" i="4"/>
  <c r="D113" i="4"/>
  <c r="Z113" i="4" s="1"/>
  <c r="AD113" i="4" s="1"/>
  <c r="AN112" i="4"/>
  <c r="AL112" i="4"/>
  <c r="AH112" i="4"/>
  <c r="Q112" i="4"/>
  <c r="R112" i="4" s="1"/>
  <c r="X112" i="4" s="1"/>
  <c r="O112" i="4"/>
  <c r="L112" i="4"/>
  <c r="N112" i="4" s="1"/>
  <c r="H112" i="4"/>
  <c r="G112" i="4"/>
  <c r="D112" i="4"/>
  <c r="Z112" i="4" s="1"/>
  <c r="AD112" i="4" s="1"/>
  <c r="AN111" i="4"/>
  <c r="AL111" i="4"/>
  <c r="AI111" i="4"/>
  <c r="AE111" i="4"/>
  <c r="AH111" i="4" s="1"/>
  <c r="AC111" i="4"/>
  <c r="AC281" i="4" s="1"/>
  <c r="T111" i="4"/>
  <c r="Q111" i="4"/>
  <c r="R111" i="4" s="1"/>
  <c r="L111" i="4"/>
  <c r="O111" i="4" s="1"/>
  <c r="H111" i="4"/>
  <c r="G111" i="4"/>
  <c r="D111" i="4"/>
  <c r="AN110" i="4"/>
  <c r="AK110" i="4"/>
  <c r="AL110" i="4" s="1"/>
  <c r="AH110" i="4"/>
  <c r="AD110" i="4"/>
  <c r="Q110" i="4"/>
  <c r="R110" i="4" s="1"/>
  <c r="L110" i="4"/>
  <c r="N110" i="4" s="1"/>
  <c r="H110" i="4"/>
  <c r="G110" i="4"/>
  <c r="D110" i="4"/>
  <c r="AN109" i="4"/>
  <c r="AL109" i="4"/>
  <c r="AI109" i="4"/>
  <c r="AH109" i="4"/>
  <c r="Z109" i="4"/>
  <c r="AD109" i="4" s="1"/>
  <c r="Q109" i="4"/>
  <c r="R109" i="4" s="1"/>
  <c r="X109" i="4" s="1"/>
  <c r="I109" i="4"/>
  <c r="L109" i="4" s="1"/>
  <c r="O109" i="4" s="1"/>
  <c r="G109" i="4"/>
  <c r="D109" i="4"/>
  <c r="AN108" i="4"/>
  <c r="AL108" i="4"/>
  <c r="AE108" i="4"/>
  <c r="AH108" i="4" s="1"/>
  <c r="Z108" i="4"/>
  <c r="AD108" i="4" s="1"/>
  <c r="Q108" i="4"/>
  <c r="R108" i="4" s="1"/>
  <c r="X108" i="4" s="1"/>
  <c r="O108" i="4"/>
  <c r="N108" i="4"/>
  <c r="L108" i="4"/>
  <c r="H108" i="4"/>
  <c r="G108" i="4"/>
  <c r="D108" i="4"/>
  <c r="AN107" i="4"/>
  <c r="AL107" i="4"/>
  <c r="AF107" i="4"/>
  <c r="AE107" i="4"/>
  <c r="Z107" i="4"/>
  <c r="AD107" i="4" s="1"/>
  <c r="Q107" i="4"/>
  <c r="R107" i="4" s="1"/>
  <c r="X107" i="4" s="1"/>
  <c r="L107" i="4"/>
  <c r="O107" i="4" s="1"/>
  <c r="H107" i="4"/>
  <c r="G107" i="4"/>
  <c r="D107" i="4"/>
  <c r="AN106" i="4"/>
  <c r="AL106" i="4"/>
  <c r="AH106" i="4"/>
  <c r="Z106" i="4"/>
  <c r="AD106" i="4" s="1"/>
  <c r="Q106" i="4"/>
  <c r="R106" i="4" s="1"/>
  <c r="X106" i="4" s="1"/>
  <c r="L106" i="4"/>
  <c r="N106" i="4" s="1"/>
  <c r="H106" i="4"/>
  <c r="G106" i="4"/>
  <c r="D106" i="4"/>
  <c r="AN105" i="4"/>
  <c r="AL105" i="4"/>
  <c r="AI105" i="4"/>
  <c r="AH105" i="4"/>
  <c r="Z105" i="4"/>
  <c r="AD105" i="4" s="1"/>
  <c r="Q105" i="4"/>
  <c r="R105" i="4" s="1"/>
  <c r="X105" i="4" s="1"/>
  <c r="L105" i="4"/>
  <c r="O105" i="4" s="1"/>
  <c r="H105" i="4"/>
  <c r="G105" i="4"/>
  <c r="D105" i="4"/>
  <c r="AL104" i="4"/>
  <c r="AK104" i="4"/>
  <c r="AN104" i="4" s="1"/>
  <c r="AI104" i="4"/>
  <c r="AH104" i="4"/>
  <c r="AD104" i="4"/>
  <c r="Z104" i="4"/>
  <c r="Q104" i="4"/>
  <c r="R104" i="4" s="1"/>
  <c r="X104" i="4" s="1"/>
  <c r="N104" i="4"/>
  <c r="L104" i="4"/>
  <c r="O104" i="4" s="1"/>
  <c r="H104" i="4"/>
  <c r="G104" i="4"/>
  <c r="D104" i="4"/>
  <c r="AK103" i="4"/>
  <c r="AI103" i="4"/>
  <c r="AH103" i="4"/>
  <c r="Q103" i="4"/>
  <c r="R103" i="4" s="1"/>
  <c r="X103" i="4" s="1"/>
  <c r="L103" i="4"/>
  <c r="O103" i="4" s="1"/>
  <c r="H103" i="4"/>
  <c r="G103" i="4"/>
  <c r="D103" i="4"/>
  <c r="Z103" i="4" s="1"/>
  <c r="AD103" i="4" s="1"/>
  <c r="AK102" i="4"/>
  <c r="AI102" i="4"/>
  <c r="AH102" i="4"/>
  <c r="Q102" i="4"/>
  <c r="R102" i="4" s="1"/>
  <c r="X102" i="4" s="1"/>
  <c r="O102" i="4"/>
  <c r="N102" i="4"/>
  <c r="L102" i="4"/>
  <c r="H102" i="4"/>
  <c r="G102" i="4"/>
  <c r="D102" i="4"/>
  <c r="Z102" i="4" s="1"/>
  <c r="AD102" i="4" s="1"/>
  <c r="AN101" i="4"/>
  <c r="AL101" i="4"/>
  <c r="AH101" i="4"/>
  <c r="AD101" i="4"/>
  <c r="X101" i="4"/>
  <c r="AN100" i="4"/>
  <c r="AL100" i="4"/>
  <c r="AH100" i="4"/>
  <c r="Z100" i="4"/>
  <c r="AD100" i="4" s="1"/>
  <c r="X100" i="4"/>
  <c r="AN99" i="4"/>
  <c r="AL99" i="4"/>
  <c r="AH99" i="4"/>
  <c r="Z99" i="4"/>
  <c r="AD99" i="4" s="1"/>
  <c r="Q99" i="4"/>
  <c r="R99" i="4" s="1"/>
  <c r="X99" i="4" s="1"/>
  <c r="O99" i="4"/>
  <c r="L99" i="4"/>
  <c r="N99" i="4" s="1"/>
  <c r="H99" i="4"/>
  <c r="G99" i="4"/>
  <c r="D99" i="4"/>
  <c r="AK98" i="4"/>
  <c r="AN98" i="4" s="1"/>
  <c r="AE98" i="4"/>
  <c r="AH98" i="4" s="1"/>
  <c r="Z98" i="4"/>
  <c r="AD98" i="4" s="1"/>
  <c r="R98" i="4"/>
  <c r="X98" i="4" s="1"/>
  <c r="Q98" i="4"/>
  <c r="L98" i="4"/>
  <c r="N98" i="4" s="1"/>
  <c r="H98" i="4"/>
  <c r="G98" i="4"/>
  <c r="D98" i="4"/>
  <c r="AK97" i="4"/>
  <c r="AN97" i="4" s="1"/>
  <c r="AH97" i="4"/>
  <c r="Q97" i="4"/>
  <c r="R97" i="4" s="1"/>
  <c r="L97" i="4"/>
  <c r="O97" i="4" s="1"/>
  <c r="H97" i="4"/>
  <c r="G97" i="4"/>
  <c r="D97" i="4"/>
  <c r="Z97" i="4" s="1"/>
  <c r="AD97" i="4" s="1"/>
  <c r="AN96" i="4"/>
  <c r="AL96" i="4"/>
  <c r="AH96" i="4"/>
  <c r="Z96" i="4"/>
  <c r="AD96" i="4" s="1"/>
  <c r="Q96" i="4"/>
  <c r="R96" i="4" s="1"/>
  <c r="X96" i="4" s="1"/>
  <c r="L96" i="4"/>
  <c r="O96" i="4" s="1"/>
  <c r="H96" i="4"/>
  <c r="G96" i="4"/>
  <c r="D96" i="4"/>
  <c r="AK95" i="4"/>
  <c r="AN95" i="4" s="1"/>
  <c r="AH95" i="4"/>
  <c r="Z95" i="4"/>
  <c r="AD95" i="4" s="1"/>
  <c r="Q95" i="4"/>
  <c r="R95" i="4" s="1"/>
  <c r="X95" i="4" s="1"/>
  <c r="L95" i="4"/>
  <c r="O95" i="4" s="1"/>
  <c r="H95" i="4"/>
  <c r="G95" i="4"/>
  <c r="D95" i="4"/>
  <c r="AK94" i="4"/>
  <c r="AE94" i="4"/>
  <c r="AH94" i="4" s="1"/>
  <c r="Z94" i="4"/>
  <c r="AD94" i="4" s="1"/>
  <c r="Q94" i="4"/>
  <c r="R94" i="4" s="1"/>
  <c r="X94" i="4" s="1"/>
  <c r="H94" i="4"/>
  <c r="I94" i="4" s="1"/>
  <c r="L94" i="4" s="1"/>
  <c r="G94" i="4"/>
  <c r="D94" i="4"/>
  <c r="AN93" i="4"/>
  <c r="AL93" i="4"/>
  <c r="AE93" i="4"/>
  <c r="AH93" i="4" s="1"/>
  <c r="Z93" i="4"/>
  <c r="AD93" i="4" s="1"/>
  <c r="R93" i="4"/>
  <c r="X93" i="4" s="1"/>
  <c r="Q93" i="4"/>
  <c r="L93" i="4"/>
  <c r="O93" i="4" s="1"/>
  <c r="H93" i="4"/>
  <c r="G93" i="4"/>
  <c r="D93" i="4"/>
  <c r="AN92" i="4"/>
  <c r="AL92" i="4"/>
  <c r="AH92" i="4"/>
  <c r="AE92" i="4"/>
  <c r="AD92" i="4"/>
  <c r="Z92" i="4"/>
  <c r="Q92" i="4"/>
  <c r="R92" i="4" s="1"/>
  <c r="X92" i="4" s="1"/>
  <c r="L92" i="4"/>
  <c r="O92" i="4" s="1"/>
  <c r="H92" i="4"/>
  <c r="G92" i="4"/>
  <c r="D92" i="4"/>
  <c r="AK91" i="4"/>
  <c r="AH91" i="4"/>
  <c r="Z91" i="4"/>
  <c r="AD91" i="4" s="1"/>
  <c r="Q91" i="4"/>
  <c r="R91" i="4" s="1"/>
  <c r="X91" i="4" s="1"/>
  <c r="L91" i="4"/>
  <c r="N91" i="4" s="1"/>
  <c r="H91" i="4"/>
  <c r="G91" i="4"/>
  <c r="D91" i="4"/>
  <c r="AN90" i="4"/>
  <c r="AL90" i="4"/>
  <c r="AI90" i="4"/>
  <c r="AH90" i="4"/>
  <c r="Z90" i="4"/>
  <c r="AD90" i="4" s="1"/>
  <c r="Q90" i="4"/>
  <c r="R90" i="4" s="1"/>
  <c r="X90" i="4" s="1"/>
  <c r="L90" i="4"/>
  <c r="O90" i="4" s="1"/>
  <c r="H90" i="4"/>
  <c r="G90" i="4"/>
  <c r="D90" i="4"/>
  <c r="AN89" i="4"/>
  <c r="AL89" i="4"/>
  <c r="AE89" i="4"/>
  <c r="AH89" i="4" s="1"/>
  <c r="Z89" i="4"/>
  <c r="AD89" i="4" s="1"/>
  <c r="Q89" i="4"/>
  <c r="R89" i="4" s="1"/>
  <c r="X89" i="4" s="1"/>
  <c r="L89" i="4"/>
  <c r="O89" i="4" s="1"/>
  <c r="H89" i="4"/>
  <c r="G89" i="4"/>
  <c r="D89" i="4"/>
  <c r="AN88" i="4"/>
  <c r="AK88" i="4"/>
  <c r="AL88" i="4" s="1"/>
  <c r="AE88" i="4"/>
  <c r="AH88" i="4" s="1"/>
  <c r="Z88" i="4"/>
  <c r="AD88" i="4" s="1"/>
  <c r="Q88" i="4"/>
  <c r="R88" i="4" s="1"/>
  <c r="X88" i="4" s="1"/>
  <c r="L88" i="4"/>
  <c r="O88" i="4" s="1"/>
  <c r="H88" i="4"/>
  <c r="G88" i="4"/>
  <c r="D88" i="4"/>
  <c r="AK87" i="4"/>
  <c r="AE87" i="4"/>
  <c r="AH87" i="4" s="1"/>
  <c r="Z87" i="4"/>
  <c r="AD87" i="4" s="1"/>
  <c r="Q87" i="4"/>
  <c r="R87" i="4" s="1"/>
  <c r="X87" i="4" s="1"/>
  <c r="L87" i="4"/>
  <c r="N87" i="4" s="1"/>
  <c r="H87" i="4"/>
  <c r="G87" i="4"/>
  <c r="D87" i="4"/>
  <c r="AN86" i="4"/>
  <c r="AK86" i="4"/>
  <c r="AL86" i="4" s="1"/>
  <c r="AH86" i="4"/>
  <c r="Z86" i="4"/>
  <c r="AD86" i="4" s="1"/>
  <c r="Q86" i="4"/>
  <c r="R86" i="4" s="1"/>
  <c r="X86" i="4" s="1"/>
  <c r="L86" i="4"/>
  <c r="O86" i="4" s="1"/>
  <c r="H86" i="4"/>
  <c r="G86" i="4"/>
  <c r="D86" i="4"/>
  <c r="AK85" i="4"/>
  <c r="AL85" i="4" s="1"/>
  <c r="AE85" i="4"/>
  <c r="AH85" i="4" s="1"/>
  <c r="Z85" i="4"/>
  <c r="AD85" i="4" s="1"/>
  <c r="Q85" i="4"/>
  <c r="R85" i="4" s="1"/>
  <c r="X85" i="4" s="1"/>
  <c r="I85" i="4"/>
  <c r="L85" i="4" s="1"/>
  <c r="H85" i="4"/>
  <c r="C85" i="4"/>
  <c r="D85" i="4" s="1"/>
  <c r="AK84" i="4"/>
  <c r="AN84" i="4" s="1"/>
  <c r="AE84" i="4"/>
  <c r="AH84" i="4" s="1"/>
  <c r="Z84" i="4"/>
  <c r="AD84" i="4" s="1"/>
  <c r="Q84" i="4"/>
  <c r="R84" i="4" s="1"/>
  <c r="X84" i="4" s="1"/>
  <c r="N84" i="4"/>
  <c r="L84" i="4"/>
  <c r="O84" i="4" s="1"/>
  <c r="H84" i="4"/>
  <c r="C84" i="4"/>
  <c r="G84" i="4" s="1"/>
  <c r="AK83" i="4"/>
  <c r="AN83" i="4" s="1"/>
  <c r="AH83" i="4"/>
  <c r="Z83" i="4"/>
  <c r="AD83" i="4" s="1"/>
  <c r="Q83" i="4"/>
  <c r="R83" i="4" s="1"/>
  <c r="X83" i="4" s="1"/>
  <c r="H83" i="4"/>
  <c r="I83" i="4" s="1"/>
  <c r="L83" i="4" s="1"/>
  <c r="G83" i="4"/>
  <c r="D83" i="4"/>
  <c r="AK82" i="4"/>
  <c r="AL82" i="4" s="1"/>
  <c r="AH82" i="4"/>
  <c r="AD82" i="4"/>
  <c r="Z82" i="4"/>
  <c r="Q82" i="4"/>
  <c r="R82" i="4" s="1"/>
  <c r="X82" i="4" s="1"/>
  <c r="I82" i="4"/>
  <c r="L82" i="4" s="1"/>
  <c r="H82" i="4"/>
  <c r="C82" i="4"/>
  <c r="D82" i="4" s="1"/>
  <c r="AN81" i="4"/>
  <c r="AL81" i="4"/>
  <c r="AK81" i="4"/>
  <c r="AI81" i="4"/>
  <c r="AH81" i="4"/>
  <c r="AD81" i="4"/>
  <c r="Z81" i="4"/>
  <c r="Q81" i="4"/>
  <c r="R81" i="4" s="1"/>
  <c r="X81" i="4" s="1"/>
  <c r="L81" i="4"/>
  <c r="O81" i="4" s="1"/>
  <c r="H81" i="4"/>
  <c r="G81" i="4"/>
  <c r="D81" i="4"/>
  <c r="AK80" i="4"/>
  <c r="AL80" i="4" s="1"/>
  <c r="AE80" i="4"/>
  <c r="AH80" i="4" s="1"/>
  <c r="Z80" i="4"/>
  <c r="AD80" i="4" s="1"/>
  <c r="Q80" i="4"/>
  <c r="R80" i="4" s="1"/>
  <c r="X80" i="4" s="1"/>
  <c r="N80" i="4"/>
  <c r="L80" i="4"/>
  <c r="O80" i="4" s="1"/>
  <c r="H80" i="4"/>
  <c r="G80" i="4"/>
  <c r="D80" i="4"/>
  <c r="AK79" i="4"/>
  <c r="AI79" i="4"/>
  <c r="AE79" i="4"/>
  <c r="AH79" i="4" s="1"/>
  <c r="Z79" i="4"/>
  <c r="AD79" i="4" s="1"/>
  <c r="Q79" i="4"/>
  <c r="R79" i="4" s="1"/>
  <c r="X79" i="4" s="1"/>
  <c r="H79" i="4"/>
  <c r="I79" i="4" s="1"/>
  <c r="J79" i="4" s="1"/>
  <c r="G79" i="4"/>
  <c r="D79" i="4"/>
  <c r="AK78" i="4"/>
  <c r="AL78" i="4" s="1"/>
  <c r="AH78" i="4"/>
  <c r="AD78" i="4"/>
  <c r="Z78" i="4"/>
  <c r="Q78" i="4"/>
  <c r="R78" i="4" s="1"/>
  <c r="X78" i="4" s="1"/>
  <c r="L78" i="4"/>
  <c r="O78" i="4" s="1"/>
  <c r="H78" i="4"/>
  <c r="G78" i="4"/>
  <c r="D78" i="4"/>
  <c r="AN77" i="4"/>
  <c r="AL77" i="4"/>
  <c r="AI77" i="4"/>
  <c r="AE77" i="4"/>
  <c r="AH77" i="4" s="1"/>
  <c r="Z77" i="4"/>
  <c r="AD77" i="4" s="1"/>
  <c r="Q77" i="4"/>
  <c r="R77" i="4" s="1"/>
  <c r="X77" i="4" s="1"/>
  <c r="L77" i="4"/>
  <c r="O77" i="4" s="1"/>
  <c r="H77" i="4"/>
  <c r="G77" i="4"/>
  <c r="D77" i="4"/>
  <c r="AK76" i="4"/>
  <c r="AN76" i="4" s="1"/>
  <c r="AH76" i="4"/>
  <c r="Z76" i="4"/>
  <c r="AD76" i="4" s="1"/>
  <c r="T76" i="4"/>
  <c r="Q76" i="4"/>
  <c r="R76" i="4" s="1"/>
  <c r="N76" i="4"/>
  <c r="L76" i="4"/>
  <c r="O76" i="4" s="1"/>
  <c r="H76" i="4"/>
  <c r="C76" i="4"/>
  <c r="G76" i="4" s="1"/>
  <c r="AK75" i="4"/>
  <c r="AL75" i="4" s="1"/>
  <c r="AH75" i="4"/>
  <c r="Z75" i="4"/>
  <c r="AD75" i="4" s="1"/>
  <c r="T75" i="4"/>
  <c r="Q75" i="4"/>
  <c r="R75" i="4" s="1"/>
  <c r="L75" i="4"/>
  <c r="H75" i="4"/>
  <c r="G75" i="4"/>
  <c r="D75" i="4"/>
  <c r="AK74" i="4"/>
  <c r="AN74" i="4" s="1"/>
  <c r="AE74" i="4"/>
  <c r="AH74" i="4" s="1"/>
  <c r="Z74" i="4"/>
  <c r="AD74" i="4" s="1"/>
  <c r="T74" i="4"/>
  <c r="Q74" i="4"/>
  <c r="R74" i="4" s="1"/>
  <c r="L74" i="4"/>
  <c r="N74" i="4" s="1"/>
  <c r="H74" i="4"/>
  <c r="C74" i="4"/>
  <c r="D74" i="4" s="1"/>
  <c r="AN73" i="4"/>
  <c r="AL73" i="4"/>
  <c r="AH73" i="4"/>
  <c r="Z73" i="4"/>
  <c r="AD73" i="4" s="1"/>
  <c r="Q73" i="4"/>
  <c r="R73" i="4" s="1"/>
  <c r="X73" i="4" s="1"/>
  <c r="L73" i="4"/>
  <c r="N73" i="4" s="1"/>
  <c r="H73" i="4"/>
  <c r="G73" i="4"/>
  <c r="D73" i="4"/>
  <c r="AK72" i="4"/>
  <c r="AN72" i="4" s="1"/>
  <c r="AE72" i="4"/>
  <c r="AH72" i="4" s="1"/>
  <c r="Q72" i="4"/>
  <c r="R72" i="4" s="1"/>
  <c r="X72" i="4" s="1"/>
  <c r="I72" i="4"/>
  <c r="L72" i="4" s="1"/>
  <c r="G72" i="4"/>
  <c r="D72" i="4"/>
  <c r="Z72" i="4" s="1"/>
  <c r="AD72" i="4" s="1"/>
  <c r="AN71" i="4"/>
  <c r="AL71" i="4"/>
  <c r="AH71" i="4"/>
  <c r="Z71" i="4"/>
  <c r="AD71" i="4" s="1"/>
  <c r="Q71" i="4"/>
  <c r="R71" i="4" s="1"/>
  <c r="X71" i="4" s="1"/>
  <c r="L71" i="4"/>
  <c r="O71" i="4" s="1"/>
  <c r="H71" i="4"/>
  <c r="G71" i="4"/>
  <c r="D71" i="4"/>
  <c r="AK70" i="4"/>
  <c r="AH70" i="4"/>
  <c r="AE70" i="4"/>
  <c r="Z70" i="4"/>
  <c r="AD70" i="4" s="1"/>
  <c r="Q70" i="4"/>
  <c r="R70" i="4" s="1"/>
  <c r="X70" i="4" s="1"/>
  <c r="L70" i="4"/>
  <c r="H70" i="4"/>
  <c r="G70" i="4"/>
  <c r="D70" i="4"/>
  <c r="AN69" i="4"/>
  <c r="AL69" i="4"/>
  <c r="AH69" i="4"/>
  <c r="Z69" i="4"/>
  <c r="AD69" i="4" s="1"/>
  <c r="Q69" i="4"/>
  <c r="R69" i="4" s="1"/>
  <c r="X69" i="4" s="1"/>
  <c r="L69" i="4"/>
  <c r="H69" i="4"/>
  <c r="G69" i="4"/>
  <c r="D69" i="4"/>
  <c r="AL68" i="4"/>
  <c r="AK68" i="4"/>
  <c r="AN68" i="4" s="1"/>
  <c r="AH68" i="4"/>
  <c r="Z68" i="4"/>
  <c r="AD68" i="4" s="1"/>
  <c r="Q68" i="4"/>
  <c r="R68" i="4" s="1"/>
  <c r="X68" i="4" s="1"/>
  <c r="H68" i="4"/>
  <c r="I68" i="4" s="1"/>
  <c r="L68" i="4" s="1"/>
  <c r="G68" i="4"/>
  <c r="D68" i="4"/>
  <c r="AN67" i="4"/>
  <c r="AL67" i="4"/>
  <c r="AH67" i="4"/>
  <c r="Z67" i="4"/>
  <c r="AD67" i="4" s="1"/>
  <c r="Q67" i="4"/>
  <c r="R67" i="4" s="1"/>
  <c r="X67" i="4" s="1"/>
  <c r="I67" i="4"/>
  <c r="L67" i="4" s="1"/>
  <c r="G67" i="4"/>
  <c r="D67" i="4"/>
  <c r="AK66" i="4"/>
  <c r="AL66" i="4" s="1"/>
  <c r="AH66" i="4"/>
  <c r="Z66" i="4"/>
  <c r="AD66" i="4" s="1"/>
  <c r="Q66" i="4"/>
  <c r="R66" i="4" s="1"/>
  <c r="X66" i="4" s="1"/>
  <c r="H66" i="4"/>
  <c r="I66" i="4" s="1"/>
  <c r="L66" i="4" s="1"/>
  <c r="O66" i="4" s="1"/>
  <c r="D66" i="4"/>
  <c r="C66" i="4"/>
  <c r="G66" i="4" s="1"/>
  <c r="AK65" i="4"/>
  <c r="AG65" i="4"/>
  <c r="AE65" i="4"/>
  <c r="AH65" i="4" s="1"/>
  <c r="Z65" i="4"/>
  <c r="AD65" i="4" s="1"/>
  <c r="Q65" i="4"/>
  <c r="H65" i="4"/>
  <c r="G65" i="4"/>
  <c r="D65" i="4"/>
  <c r="AE50" i="4"/>
  <c r="R50" i="4"/>
  <c r="L50" i="4"/>
  <c r="N50" i="4" s="1"/>
  <c r="D50" i="4"/>
  <c r="AE49" i="4"/>
  <c r="R49" i="4"/>
  <c r="L49" i="4"/>
  <c r="N49" i="4" s="1"/>
  <c r="D49" i="4"/>
  <c r="AE48" i="4"/>
  <c r="R48" i="4"/>
  <c r="L48" i="4"/>
  <c r="N48" i="4" s="1"/>
  <c r="AE47" i="4"/>
  <c r="R47" i="4"/>
  <c r="L47" i="4"/>
  <c r="N47" i="4" s="1"/>
  <c r="AE46" i="4"/>
  <c r="R46" i="4"/>
  <c r="L46" i="4"/>
  <c r="N46" i="4" s="1"/>
  <c r="D46" i="4"/>
  <c r="AE45" i="4"/>
  <c r="R45" i="4"/>
  <c r="L45" i="4"/>
  <c r="N45" i="4" s="1"/>
  <c r="AH44" i="4"/>
  <c r="R44" i="4"/>
  <c r="L44" i="4"/>
  <c r="N44" i="4" s="1"/>
  <c r="D44" i="4"/>
  <c r="AE43" i="4"/>
  <c r="AH43" i="4" s="1"/>
  <c r="R43" i="4"/>
  <c r="L43" i="4"/>
  <c r="N43" i="4" s="1"/>
  <c r="C43" i="4"/>
  <c r="D43" i="4" s="1"/>
  <c r="AH42" i="4"/>
  <c r="AD42" i="4"/>
  <c r="R42" i="4"/>
  <c r="X42" i="4" s="1"/>
  <c r="L42" i="4"/>
  <c r="O42" i="4" s="1"/>
  <c r="D42" i="4"/>
  <c r="AH41" i="4"/>
  <c r="AD41" i="4"/>
  <c r="R41" i="4"/>
  <c r="X41" i="4" s="1"/>
  <c r="L41" i="4"/>
  <c r="O41" i="4" s="1"/>
  <c r="D41" i="4"/>
  <c r="AN40" i="4"/>
  <c r="AM40" i="4"/>
  <c r="AL40" i="4"/>
  <c r="AK40" i="4"/>
  <c r="AJ40" i="4"/>
  <c r="AI40" i="4"/>
  <c r="AE40" i="4"/>
  <c r="AH40" i="4" s="1"/>
  <c r="Z40" i="4"/>
  <c r="AD40" i="4" s="1"/>
  <c r="P40" i="4"/>
  <c r="R40" i="4" s="1"/>
  <c r="X40" i="4" s="1"/>
  <c r="L40" i="4"/>
  <c r="H40" i="4"/>
  <c r="AF39" i="4"/>
  <c r="AD39" i="4"/>
  <c r="R39" i="4"/>
  <c r="X39" i="4" s="1"/>
  <c r="L39" i="4"/>
  <c r="D39" i="4"/>
  <c r="AE38" i="4"/>
  <c r="AD38" i="4"/>
  <c r="U38" i="4"/>
  <c r="T38" i="4"/>
  <c r="R38" i="4"/>
  <c r="X38" i="4" s="1"/>
  <c r="L38" i="4"/>
  <c r="N38" i="4" s="1"/>
  <c r="D38" i="4"/>
  <c r="AE37" i="4"/>
  <c r="AH37" i="4" s="1"/>
  <c r="AD37" i="4"/>
  <c r="R37" i="4"/>
  <c r="X37" i="4" s="1"/>
  <c r="L37" i="4"/>
  <c r="N37" i="4" s="1"/>
  <c r="AF36" i="4"/>
  <c r="AF32" i="4" s="1"/>
  <c r="AF18" i="4" s="1"/>
  <c r="AD36" i="4"/>
  <c r="R36" i="4"/>
  <c r="X36" i="4" s="1"/>
  <c r="L36" i="4"/>
  <c r="N36" i="4" s="1"/>
  <c r="D36" i="4"/>
  <c r="AH35" i="4"/>
  <c r="AD35" i="4"/>
  <c r="R35" i="4"/>
  <c r="X35" i="4" s="1"/>
  <c r="L35" i="4"/>
  <c r="N35" i="4" s="1"/>
  <c r="D35" i="4"/>
  <c r="AE34" i="4"/>
  <c r="AH34" i="4" s="1"/>
  <c r="AD34" i="4"/>
  <c r="R34" i="4"/>
  <c r="X34" i="4" s="1"/>
  <c r="O34" i="4"/>
  <c r="N34" i="4"/>
  <c r="D34" i="4"/>
  <c r="AH33" i="4"/>
  <c r="AD33" i="4"/>
  <c r="R33" i="4"/>
  <c r="X33" i="4" s="1"/>
  <c r="L33" i="4"/>
  <c r="N33" i="4" s="1"/>
  <c r="D33" i="4"/>
  <c r="AN32" i="4"/>
  <c r="AL32" i="4"/>
  <c r="AK32" i="4"/>
  <c r="AE32" i="4"/>
  <c r="Z32" i="4"/>
  <c r="AD32" i="4" s="1"/>
  <c r="P32" i="4"/>
  <c r="R32" i="4" s="1"/>
  <c r="L32" i="4"/>
  <c r="H32" i="4"/>
  <c r="C32" i="4"/>
  <c r="D32" i="4" s="1"/>
  <c r="R31" i="4"/>
  <c r="L31" i="4"/>
  <c r="N31" i="4" s="1"/>
  <c r="R30" i="4"/>
  <c r="N30" i="4"/>
  <c r="L30" i="4"/>
  <c r="D30" i="4"/>
  <c r="R29" i="4"/>
  <c r="N29" i="4"/>
  <c r="L29" i="4"/>
  <c r="D29" i="4"/>
  <c r="R28" i="4"/>
  <c r="N28" i="4"/>
  <c r="L28" i="4"/>
  <c r="D28" i="4"/>
  <c r="R27" i="4"/>
  <c r="N27" i="4"/>
  <c r="L27" i="4"/>
  <c r="R26" i="4"/>
  <c r="L26" i="4"/>
  <c r="N26" i="4" s="1"/>
  <c r="R25" i="4"/>
  <c r="L25" i="4"/>
  <c r="N25" i="4" s="1"/>
  <c r="D25" i="4"/>
  <c r="R24" i="4"/>
  <c r="L24" i="4"/>
  <c r="N24" i="4" s="1"/>
  <c r="D24" i="4"/>
  <c r="R23" i="4"/>
  <c r="L23" i="4"/>
  <c r="N23" i="4" s="1"/>
  <c r="F23" i="4"/>
  <c r="C23" i="4"/>
  <c r="AH22" i="4"/>
  <c r="AD22" i="4"/>
  <c r="R22" i="4"/>
  <c r="X22" i="4" s="1"/>
  <c r="L22" i="4"/>
  <c r="O22" i="4" s="1"/>
  <c r="D22" i="4"/>
  <c r="AH21" i="4"/>
  <c r="AD21" i="4"/>
  <c r="R21" i="4"/>
  <c r="X21" i="4" s="1"/>
  <c r="L21" i="4"/>
  <c r="O21" i="4" s="1"/>
  <c r="D21" i="4"/>
  <c r="AH20" i="4"/>
  <c r="AH19" i="4" s="1"/>
  <c r="AD20" i="4"/>
  <c r="R20" i="4"/>
  <c r="X20" i="4" s="1"/>
  <c r="L20" i="4"/>
  <c r="O20" i="4" s="1"/>
  <c r="D20" i="4"/>
  <c r="AN19" i="4"/>
  <c r="AM19" i="4"/>
  <c r="AM18" i="4" s="1"/>
  <c r="AM17" i="4" s="1"/>
  <c r="AL19" i="4"/>
  <c r="AL18" i="4" s="1"/>
  <c r="AL17" i="4" s="1"/>
  <c r="AK19" i="4"/>
  <c r="AJ19" i="4"/>
  <c r="AJ18" i="4" s="1"/>
  <c r="AI19" i="4"/>
  <c r="AI18" i="4" s="1"/>
  <c r="AG19" i="4"/>
  <c r="AE19" i="4"/>
  <c r="AE18" i="4" s="1"/>
  <c r="AE17" i="4" s="1"/>
  <c r="Z19" i="4"/>
  <c r="Z18" i="4" s="1"/>
  <c r="U19" i="4"/>
  <c r="U18" i="4" s="1"/>
  <c r="U17" i="4" s="1"/>
  <c r="T19" i="4"/>
  <c r="T18" i="4" s="1"/>
  <c r="S19" i="4"/>
  <c r="S18" i="4" s="1"/>
  <c r="Q19" i="4"/>
  <c r="P19" i="4"/>
  <c r="M19" i="4"/>
  <c r="M18" i="4" s="1"/>
  <c r="I19" i="4"/>
  <c r="I18" i="4" s="1"/>
  <c r="I17" i="4" s="1"/>
  <c r="H19" i="4"/>
  <c r="G19" i="4"/>
  <c r="F19" i="4"/>
  <c r="E19" i="4"/>
  <c r="E18" i="4" s="1"/>
  <c r="C19" i="4"/>
  <c r="D19" i="4" s="1"/>
  <c r="AG18" i="4"/>
  <c r="AG17" i="4" s="1"/>
  <c r="Q18" i="4"/>
  <c r="Q17" i="4" s="1"/>
  <c r="G18" i="4"/>
  <c r="G17" i="4" s="1"/>
  <c r="S17" i="4"/>
  <c r="E17" i="4"/>
  <c r="H18" i="4" l="1"/>
  <c r="H17" i="4" s="1"/>
  <c r="AN85" i="4"/>
  <c r="G151" i="4"/>
  <c r="O275" i="4"/>
  <c r="T17" i="4"/>
  <c r="AK18" i="4"/>
  <c r="AK17" i="4" s="1"/>
  <c r="AH128" i="4"/>
  <c r="X191" i="4"/>
  <c r="O128" i="4"/>
  <c r="N77" i="4"/>
  <c r="N96" i="4"/>
  <c r="N103" i="4"/>
  <c r="N139" i="4"/>
  <c r="AL154" i="4"/>
  <c r="N160" i="4"/>
  <c r="AL164" i="4"/>
  <c r="O186" i="4"/>
  <c r="O188" i="4"/>
  <c r="N207" i="4"/>
  <c r="O211" i="4"/>
  <c r="N216" i="4"/>
  <c r="AL216" i="4"/>
  <c r="N221" i="4"/>
  <c r="AN225" i="4"/>
  <c r="AN228" i="4"/>
  <c r="AL229" i="4"/>
  <c r="N243" i="4"/>
  <c r="AL250" i="4"/>
  <c r="N264" i="4"/>
  <c r="O235" i="4"/>
  <c r="O91" i="4"/>
  <c r="C18" i="4"/>
  <c r="C17" i="4" s="1"/>
  <c r="D17" i="4" s="1"/>
  <c r="AG281" i="4"/>
  <c r="AL74" i="4"/>
  <c r="N92" i="4"/>
  <c r="N136" i="4"/>
  <c r="AL151" i="4"/>
  <c r="N193" i="4"/>
  <c r="AL197" i="4"/>
  <c r="X203" i="4"/>
  <c r="AN233" i="4"/>
  <c r="O237" i="4"/>
  <c r="AN251" i="4"/>
  <c r="C40" i="4"/>
  <c r="D40" i="4" s="1"/>
  <c r="O276" i="4"/>
  <c r="O87" i="4"/>
  <c r="G170" i="4"/>
  <c r="O218" i="4"/>
  <c r="D233" i="4"/>
  <c r="AN239" i="4"/>
  <c r="AN18" i="4"/>
  <c r="AN17" i="4" s="1"/>
  <c r="R19" i="4"/>
  <c r="AI17" i="4"/>
  <c r="O36" i="4"/>
  <c r="O73" i="4"/>
  <c r="AN80" i="4"/>
  <c r="N90" i="4"/>
  <c r="AL95" i="4"/>
  <c r="AN133" i="4"/>
  <c r="N137" i="4"/>
  <c r="AL149" i="4"/>
  <c r="AN198" i="4"/>
  <c r="N212" i="4"/>
  <c r="O224" i="4"/>
  <c r="AN242" i="4"/>
  <c r="AN247" i="4"/>
  <c r="O260" i="4"/>
  <c r="AN269" i="4"/>
  <c r="N277" i="4"/>
  <c r="X289" i="4"/>
  <c r="AL84" i="4"/>
  <c r="AJ17" i="4"/>
  <c r="AH32" i="4"/>
  <c r="N86" i="4"/>
  <c r="AH216" i="4"/>
  <c r="O67" i="4"/>
  <c r="N67" i="4"/>
  <c r="X19" i="4"/>
  <c r="AD18" i="4"/>
  <c r="Z17" i="4"/>
  <c r="AD17" i="4" s="1"/>
  <c r="D23" i="4"/>
  <c r="AN66" i="4"/>
  <c r="O70" i="4"/>
  <c r="N70" i="4"/>
  <c r="N78" i="4"/>
  <c r="D84" i="4"/>
  <c r="AL94" i="4"/>
  <c r="AN94" i="4"/>
  <c r="AN103" i="4"/>
  <c r="AL103" i="4"/>
  <c r="N111" i="4"/>
  <c r="O120" i="4"/>
  <c r="N120" i="4"/>
  <c r="G144" i="4"/>
  <c r="D144" i="4"/>
  <c r="O134" i="4"/>
  <c r="N134" i="4"/>
  <c r="O178" i="4"/>
  <c r="N178" i="4"/>
  <c r="O201" i="4"/>
  <c r="N201" i="4"/>
  <c r="P18" i="4"/>
  <c r="P17" i="4" s="1"/>
  <c r="O38" i="4"/>
  <c r="AF38" i="4"/>
  <c r="AH38" i="4" s="1"/>
  <c r="AH39" i="4"/>
  <c r="AK281" i="4"/>
  <c r="X74" i="4"/>
  <c r="D76" i="4"/>
  <c r="AN79" i="4"/>
  <c r="AL79" i="4"/>
  <c r="N81" i="4"/>
  <c r="AL87" i="4"/>
  <c r="AN87" i="4"/>
  <c r="N97" i="4"/>
  <c r="O98" i="4"/>
  <c r="AN102" i="4"/>
  <c r="AL102" i="4"/>
  <c r="N105" i="4"/>
  <c r="D114" i="4"/>
  <c r="AN134" i="4"/>
  <c r="AL134" i="4"/>
  <c r="AL142" i="4"/>
  <c r="AN142" i="4"/>
  <c r="AN155" i="4"/>
  <c r="AL155" i="4"/>
  <c r="N173" i="4"/>
  <c r="O173" i="4"/>
  <c r="N39" i="4"/>
  <c r="O39" i="4"/>
  <c r="H281" i="4"/>
  <c r="I65" i="4"/>
  <c r="N69" i="4"/>
  <c r="O69" i="4"/>
  <c r="AL70" i="4"/>
  <c r="AN70" i="4"/>
  <c r="N75" i="4"/>
  <c r="O75" i="4"/>
  <c r="AL91" i="4"/>
  <c r="AN91" i="4"/>
  <c r="O124" i="4"/>
  <c r="N124" i="4"/>
  <c r="O145" i="4"/>
  <c r="N145" i="4"/>
  <c r="AN167" i="4"/>
  <c r="AL167" i="4"/>
  <c r="O174" i="4"/>
  <c r="N174" i="4"/>
  <c r="AI281" i="4"/>
  <c r="N71" i="4"/>
  <c r="AL72" i="4"/>
  <c r="X75" i="4"/>
  <c r="X76" i="4"/>
  <c r="G82" i="4"/>
  <c r="O142" i="4"/>
  <c r="AH151" i="4"/>
  <c r="AD168" i="4"/>
  <c r="O204" i="4"/>
  <c r="N204" i="4"/>
  <c r="AD132" i="4"/>
  <c r="N202" i="4"/>
  <c r="O202" i="4"/>
  <c r="O203" i="4"/>
  <c r="N203" i="4"/>
  <c r="AN179" i="4"/>
  <c r="AN186" i="4"/>
  <c r="AN193" i="4"/>
  <c r="O200" i="4"/>
  <c r="X204" i="4"/>
  <c r="AL204" i="4"/>
  <c r="O206" i="4"/>
  <c r="AL206" i="4"/>
  <c r="AN210" i="4"/>
  <c r="G214" i="4"/>
  <c r="O214" i="4"/>
  <c r="D217" i="4"/>
  <c r="AD217" i="4"/>
  <c r="O223" i="4"/>
  <c r="O227" i="4"/>
  <c r="AN231" i="4"/>
  <c r="L233" i="4"/>
  <c r="AN238" i="4"/>
  <c r="AL252" i="4"/>
  <c r="AL255" i="4"/>
  <c r="AN256" i="4"/>
  <c r="O258" i="4"/>
  <c r="N259" i="4"/>
  <c r="AN263" i="4"/>
  <c r="AL264" i="4"/>
  <c r="AN265" i="4"/>
  <c r="O269" i="4"/>
  <c r="AL181" i="4"/>
  <c r="N189" i="4"/>
  <c r="D194" i="4"/>
  <c r="AD195" i="4"/>
  <c r="N197" i="4"/>
  <c r="AL201" i="4"/>
  <c r="AL205" i="4"/>
  <c r="AL207" i="4"/>
  <c r="O209" i="4"/>
  <c r="AL209" i="4"/>
  <c r="D213" i="4"/>
  <c r="N213" i="4"/>
  <c r="AL218" i="4"/>
  <c r="AL224" i="4"/>
  <c r="AF183" i="4"/>
  <c r="AF281" i="4" s="1"/>
  <c r="N195" i="4"/>
  <c r="AL200" i="4"/>
  <c r="AL202" i="4"/>
  <c r="O210" i="4"/>
  <c r="N217" i="4"/>
  <c r="AN221" i="4"/>
  <c r="AN227" i="4"/>
  <c r="N254" i="4"/>
  <c r="N250" i="4"/>
  <c r="N156" i="4"/>
  <c r="N151" i="4"/>
  <c r="X32" i="4"/>
  <c r="X18" i="4" s="1"/>
  <c r="X17" i="4" s="1"/>
  <c r="R18" i="4"/>
  <c r="R17" i="4" s="1"/>
  <c r="M17" i="4"/>
  <c r="AH18" i="4"/>
  <c r="AH17" i="4" s="1"/>
  <c r="N21" i="4"/>
  <c r="D18" i="4"/>
  <c r="AD19" i="4"/>
  <c r="N20" i="4"/>
  <c r="O32" i="4"/>
  <c r="N32" i="4"/>
  <c r="O40" i="4"/>
  <c r="N40" i="4"/>
  <c r="O68" i="4"/>
  <c r="N68" i="4"/>
  <c r="O72" i="4"/>
  <c r="N72" i="4"/>
  <c r="O82" i="4"/>
  <c r="N82" i="4"/>
  <c r="O83" i="4"/>
  <c r="N83" i="4"/>
  <c r="T97" i="4"/>
  <c r="U97" i="4" s="1"/>
  <c r="U281" i="4" s="1"/>
  <c r="F18" i="4"/>
  <c r="F17" i="4" s="1"/>
  <c r="N22" i="4"/>
  <c r="AH36" i="4"/>
  <c r="J281" i="4"/>
  <c r="L79" i="4"/>
  <c r="S110" i="4"/>
  <c r="X110" i="4" s="1"/>
  <c r="L19" i="4"/>
  <c r="N19" i="4" s="1"/>
  <c r="N85" i="4"/>
  <c r="O85" i="4"/>
  <c r="O94" i="4"/>
  <c r="N94" i="4"/>
  <c r="I281" i="4"/>
  <c r="I282" i="4" s="1"/>
  <c r="AE281" i="4"/>
  <c r="N66" i="4"/>
  <c r="T281" i="4"/>
  <c r="AN75" i="4"/>
  <c r="AL76" i="4"/>
  <c r="AN78" i="4"/>
  <c r="AN82" i="4"/>
  <c r="G85" i="4"/>
  <c r="AN65" i="4"/>
  <c r="G74" i="4"/>
  <c r="O74" i="4"/>
  <c r="O110" i="4"/>
  <c r="S111" i="4"/>
  <c r="X111" i="4" s="1"/>
  <c r="AD111" i="4"/>
  <c r="O119" i="4"/>
  <c r="O126" i="4"/>
  <c r="AA281" i="4"/>
  <c r="N135" i="4"/>
  <c r="AN135" i="4"/>
  <c r="O138" i="4"/>
  <c r="N144" i="4"/>
  <c r="AN144" i="4"/>
  <c r="AN148" i="4"/>
  <c r="AL148" i="4"/>
  <c r="N149" i="4"/>
  <c r="O149" i="4"/>
  <c r="N150" i="4"/>
  <c r="O150" i="4"/>
  <c r="O175" i="4"/>
  <c r="N175" i="4"/>
  <c r="O181" i="4"/>
  <c r="N181" i="4"/>
  <c r="O192" i="4"/>
  <c r="N192" i="4"/>
  <c r="Z281" i="4"/>
  <c r="Z290" i="4" s="1"/>
  <c r="O168" i="4"/>
  <c r="N168" i="4"/>
  <c r="O170" i="4"/>
  <c r="N170" i="4"/>
  <c r="O180" i="4"/>
  <c r="N180" i="4"/>
  <c r="O194" i="4"/>
  <c r="N194" i="4"/>
  <c r="N199" i="4"/>
  <c r="O199" i="4"/>
  <c r="AL83" i="4"/>
  <c r="N88" i="4"/>
  <c r="N89" i="4"/>
  <c r="N93" i="4"/>
  <c r="N95" i="4"/>
  <c r="AL97" i="4"/>
  <c r="AL98" i="4"/>
  <c r="O106" i="4"/>
  <c r="N107" i="4"/>
  <c r="AH107" i="4"/>
  <c r="N109" i="4"/>
  <c r="AN113" i="4"/>
  <c r="N122" i="4"/>
  <c r="O125" i="4"/>
  <c r="N129" i="4"/>
  <c r="N133" i="4"/>
  <c r="AN136" i="4"/>
  <c r="N143" i="4"/>
  <c r="O146" i="4"/>
  <c r="N147" i="4"/>
  <c r="D149" i="4"/>
  <c r="O167" i="4"/>
  <c r="N167" i="4"/>
  <c r="O184" i="4"/>
  <c r="N184" i="4"/>
  <c r="L65" i="4"/>
  <c r="R65" i="4"/>
  <c r="AL65" i="4"/>
  <c r="N113" i="4"/>
  <c r="C281" i="4"/>
  <c r="L114" i="4"/>
  <c r="X120" i="4"/>
  <c r="AN143" i="4"/>
  <c r="P281" i="4"/>
  <c r="P282" i="4" s="1"/>
  <c r="Q159" i="4"/>
  <c r="R159" i="4" s="1"/>
  <c r="X159" i="4" s="1"/>
  <c r="O163" i="4"/>
  <c r="N163" i="4"/>
  <c r="N219" i="4"/>
  <c r="O219" i="4"/>
  <c r="N152" i="4"/>
  <c r="G153" i="4"/>
  <c r="O153" i="4"/>
  <c r="O154" i="4"/>
  <c r="O155" i="4"/>
  <c r="AL156" i="4"/>
  <c r="AL157" i="4"/>
  <c r="AL158" i="4"/>
  <c r="O161" i="4"/>
  <c r="G162" i="4"/>
  <c r="L162" i="4"/>
  <c r="AN162" i="4"/>
  <c r="O165" i="4"/>
  <c r="AL168" i="4"/>
  <c r="O169" i="4"/>
  <c r="AL170" i="4"/>
  <c r="O171" i="4"/>
  <c r="O172" i="4"/>
  <c r="AL172" i="4"/>
  <c r="O176" i="4"/>
  <c r="AL176" i="4"/>
  <c r="AL177" i="4"/>
  <c r="AL178" i="4"/>
  <c r="O179" i="4"/>
  <c r="N182" i="4"/>
  <c r="O183" i="4"/>
  <c r="AH183" i="4"/>
  <c r="O185" i="4"/>
  <c r="AL185" i="4"/>
  <c r="O187" i="4"/>
  <c r="AN189" i="4"/>
  <c r="N191" i="4"/>
  <c r="AN192" i="4"/>
  <c r="AN194" i="4"/>
  <c r="N196" i="4"/>
  <c r="AN203" i="4"/>
  <c r="AL214" i="4"/>
  <c r="AL222" i="4"/>
  <c r="AN222" i="4"/>
  <c r="AL223" i="4"/>
  <c r="N225" i="4"/>
  <c r="O225" i="4"/>
  <c r="O228" i="4"/>
  <c r="N228" i="4"/>
  <c r="O232" i="4"/>
  <c r="N232" i="4"/>
  <c r="X201" i="4"/>
  <c r="O229" i="4"/>
  <c r="N229" i="4"/>
  <c r="N233" i="4"/>
  <c r="O233" i="4"/>
  <c r="O215" i="4"/>
  <c r="AL219" i="4"/>
  <c r="O226" i="4"/>
  <c r="N226" i="4"/>
  <c r="X227" i="4"/>
  <c r="N231" i="4"/>
  <c r="O231" i="4"/>
  <c r="N247" i="4"/>
  <c r="O247" i="4"/>
  <c r="O198" i="4"/>
  <c r="AN226" i="4"/>
  <c r="O230" i="4"/>
  <c r="AN236" i="4"/>
  <c r="O239" i="4"/>
  <c r="O242" i="4"/>
  <c r="N248" i="4"/>
  <c r="AL249" i="4"/>
  <c r="AN249" i="4"/>
  <c r="N252" i="4"/>
  <c r="N255" i="4"/>
  <c r="O255" i="4"/>
  <c r="N274" i="4"/>
  <c r="O274" i="4"/>
  <c r="D251" i="4"/>
  <c r="G251" i="4"/>
  <c r="N256" i="4"/>
  <c r="O256" i="4"/>
  <c r="O257" i="4"/>
  <c r="N257" i="4"/>
  <c r="AK290" i="4"/>
  <c r="AL232" i="4"/>
  <c r="N234" i="4"/>
  <c r="N236" i="4"/>
  <c r="AL237" i="4"/>
  <c r="N240" i="4"/>
  <c r="N244" i="4"/>
  <c r="N246" i="4"/>
  <c r="D255" i="4"/>
  <c r="G255" i="4"/>
  <c r="AN244" i="4"/>
  <c r="N249" i="4"/>
  <c r="N251" i="4"/>
  <c r="O251" i="4"/>
  <c r="N253" i="4"/>
  <c r="AE291" i="4"/>
  <c r="AD290" i="4"/>
  <c r="AN257" i="4"/>
  <c r="AN258" i="4"/>
  <c r="AN259" i="4"/>
  <c r="AN260" i="4"/>
  <c r="AN261" i="4"/>
  <c r="O265" i="4"/>
  <c r="O270" i="4"/>
  <c r="O271" i="4"/>
  <c r="AN275" i="4"/>
  <c r="AN276" i="4"/>
  <c r="O280" i="4"/>
  <c r="N261" i="4"/>
  <c r="N262" i="4"/>
  <c r="N272" i="4"/>
  <c r="N273" i="4"/>
  <c r="AL277" i="4"/>
  <c r="Z291" i="4"/>
  <c r="AA291" i="4" s="1"/>
  <c r="AB291" i="4" s="1"/>
  <c r="AC291" i="4" s="1"/>
  <c r="AN268" i="2"/>
  <c r="AM208" i="2"/>
  <c r="AM282" i="2" s="1"/>
  <c r="AN68" i="2"/>
  <c r="AN70" i="2"/>
  <c r="AN72" i="2"/>
  <c r="AN74" i="2"/>
  <c r="AN78" i="2"/>
  <c r="AN90" i="2"/>
  <c r="AN91" i="2"/>
  <c r="AN93" i="2"/>
  <c r="AN94" i="2"/>
  <c r="AN97" i="2"/>
  <c r="AN100" i="2"/>
  <c r="AN101" i="2"/>
  <c r="AN102" i="2"/>
  <c r="AN106" i="2"/>
  <c r="AN107" i="2"/>
  <c r="AN108" i="2"/>
  <c r="AN109" i="2"/>
  <c r="AN110" i="2"/>
  <c r="AN112" i="2"/>
  <c r="AN113" i="2"/>
  <c r="AN115" i="2"/>
  <c r="AN116" i="2"/>
  <c r="AN117" i="2"/>
  <c r="AN118" i="2"/>
  <c r="AN119" i="2"/>
  <c r="AN120" i="2"/>
  <c r="AN121" i="2"/>
  <c r="AN122" i="2"/>
  <c r="AN124" i="2"/>
  <c r="AN125" i="2"/>
  <c r="AN126" i="2"/>
  <c r="AN127" i="2"/>
  <c r="AN128" i="2"/>
  <c r="AN129" i="2"/>
  <c r="AN130" i="2"/>
  <c r="AN131" i="2"/>
  <c r="AN132" i="2"/>
  <c r="AN133" i="2"/>
  <c r="AN138" i="2"/>
  <c r="AN140" i="2"/>
  <c r="AN141" i="2"/>
  <c r="AN142" i="2"/>
  <c r="AN146" i="2"/>
  <c r="AN147" i="2"/>
  <c r="AN148" i="2"/>
  <c r="AN151" i="2"/>
  <c r="AN153" i="2"/>
  <c r="AN160" i="2"/>
  <c r="AN161" i="2"/>
  <c r="AN162" i="2"/>
  <c r="AN164" i="2"/>
  <c r="AN166" i="2"/>
  <c r="AN167" i="2"/>
  <c r="AN172" i="2"/>
  <c r="AN174" i="2"/>
  <c r="AN175" i="2"/>
  <c r="AN176" i="2"/>
  <c r="AN181" i="2"/>
  <c r="AN184" i="2"/>
  <c r="AN185" i="2"/>
  <c r="AN188" i="2"/>
  <c r="AN189" i="2"/>
  <c r="AN191" i="2"/>
  <c r="AN192" i="2"/>
  <c r="AN197" i="2"/>
  <c r="AN200" i="2"/>
  <c r="AN209" i="2"/>
  <c r="AN212" i="2"/>
  <c r="AN213" i="2"/>
  <c r="AN214" i="2"/>
  <c r="AN216" i="2"/>
  <c r="AN218" i="2"/>
  <c r="AN221" i="2"/>
  <c r="AN231" i="2"/>
  <c r="AN235" i="2"/>
  <c r="AN236" i="2"/>
  <c r="AN241" i="2"/>
  <c r="AN244" i="2"/>
  <c r="AN246" i="2"/>
  <c r="AN247" i="2"/>
  <c r="AN254" i="2"/>
  <c r="AN255" i="2"/>
  <c r="AN263" i="2"/>
  <c r="AN267" i="2"/>
  <c r="AN269" i="2"/>
  <c r="AN272" i="2"/>
  <c r="AN275" i="2"/>
  <c r="AN279" i="2"/>
  <c r="AN281" i="2"/>
  <c r="AN19" i="2"/>
  <c r="AM19" i="2"/>
  <c r="AM18" i="2" s="1"/>
  <c r="AD296" i="2"/>
  <c r="AL295" i="2"/>
  <c r="AI295" i="2"/>
  <c r="AI294" i="2" s="1"/>
  <c r="AI293" i="2" s="1"/>
  <c r="AH295" i="2"/>
  <c r="AH293" i="2" s="1"/>
  <c r="X295" i="2"/>
  <c r="R295" i="2"/>
  <c r="S295" i="2" s="1"/>
  <c r="T295" i="2" s="1"/>
  <c r="U295" i="2" s="1"/>
  <c r="V295" i="2" s="1"/>
  <c r="W295" i="2" s="1"/>
  <c r="K295" i="2"/>
  <c r="AJ294" i="2"/>
  <c r="X294" i="2"/>
  <c r="X293" i="2" s="1"/>
  <c r="G293" i="2"/>
  <c r="G295" i="2" s="1"/>
  <c r="F293" i="2"/>
  <c r="F295" i="2" s="1"/>
  <c r="E293" i="2"/>
  <c r="E295" i="2" s="1"/>
  <c r="AJ282" i="2"/>
  <c r="AB282" i="2"/>
  <c r="Y282" i="2"/>
  <c r="W282" i="2"/>
  <c r="V282" i="2"/>
  <c r="M282" i="2"/>
  <c r="AL281" i="2"/>
  <c r="AH281" i="2"/>
  <c r="Z281" i="2"/>
  <c r="AD281" i="2" s="1"/>
  <c r="R281" i="2"/>
  <c r="X281" i="2" s="1"/>
  <c r="L281" i="2"/>
  <c r="N281" i="2" s="1"/>
  <c r="H281" i="2"/>
  <c r="G281" i="2"/>
  <c r="D281" i="2"/>
  <c r="AK280" i="2"/>
  <c r="AL280" i="2" s="1"/>
  <c r="AI280" i="2"/>
  <c r="AH280" i="2"/>
  <c r="Z280" i="2"/>
  <c r="AD280" i="2" s="1"/>
  <c r="Q280" i="2"/>
  <c r="R280" i="2" s="1"/>
  <c r="X280" i="2" s="1"/>
  <c r="O280" i="2"/>
  <c r="N280" i="2"/>
  <c r="AL279" i="2"/>
  <c r="AE279" i="2"/>
  <c r="AH279" i="2" s="1"/>
  <c r="Z279" i="2"/>
  <c r="AD279" i="2" s="1"/>
  <c r="Q279" i="2"/>
  <c r="R279" i="2" s="1"/>
  <c r="X279" i="2" s="1"/>
  <c r="L279" i="2"/>
  <c r="O279" i="2" s="1"/>
  <c r="H279" i="2"/>
  <c r="G279" i="2"/>
  <c r="D279" i="2"/>
  <c r="AK278" i="2"/>
  <c r="AL278" i="2" s="1"/>
  <c r="AH278" i="2"/>
  <c r="Z278" i="2"/>
  <c r="AD278" i="2" s="1"/>
  <c r="Q278" i="2"/>
  <c r="R278" i="2" s="1"/>
  <c r="X278" i="2" s="1"/>
  <c r="L278" i="2"/>
  <c r="H278" i="2"/>
  <c r="G278" i="2"/>
  <c r="D278" i="2"/>
  <c r="AK277" i="2"/>
  <c r="AN277" i="2" s="1"/>
  <c r="AE277" i="2"/>
  <c r="AH277" i="2" s="1"/>
  <c r="Z277" i="2"/>
  <c r="AD277" i="2" s="1"/>
  <c r="Q277" i="2"/>
  <c r="R277" i="2" s="1"/>
  <c r="X277" i="2" s="1"/>
  <c r="L277" i="2"/>
  <c r="O277" i="2" s="1"/>
  <c r="H277" i="2"/>
  <c r="G277" i="2"/>
  <c r="D277" i="2"/>
  <c r="AK276" i="2"/>
  <c r="AN276" i="2" s="1"/>
  <c r="AI276" i="2"/>
  <c r="AE276" i="2"/>
  <c r="AH276" i="2" s="1"/>
  <c r="Z276" i="2"/>
  <c r="AD276" i="2" s="1"/>
  <c r="Q276" i="2"/>
  <c r="R276" i="2" s="1"/>
  <c r="X276" i="2" s="1"/>
  <c r="L276" i="2"/>
  <c r="O276" i="2" s="1"/>
  <c r="H276" i="2"/>
  <c r="G276" i="2"/>
  <c r="D276" i="2"/>
  <c r="AL275" i="2"/>
  <c r="AH275" i="2"/>
  <c r="AD275" i="2"/>
  <c r="Q275" i="2"/>
  <c r="R275" i="2" s="1"/>
  <c r="X275" i="2" s="1"/>
  <c r="H275" i="2"/>
  <c r="I275" i="2" s="1"/>
  <c r="L275" i="2" s="1"/>
  <c r="O275" i="2" s="1"/>
  <c r="G275" i="2"/>
  <c r="D275" i="2"/>
  <c r="AK274" i="2"/>
  <c r="AN274" i="2" s="1"/>
  <c r="AI274" i="2"/>
  <c r="AH274" i="2"/>
  <c r="Z274" i="2"/>
  <c r="AD274" i="2" s="1"/>
  <c r="Q274" i="2"/>
  <c r="R274" i="2" s="1"/>
  <c r="X274" i="2" s="1"/>
  <c r="L274" i="2"/>
  <c r="O274" i="2" s="1"/>
  <c r="H274" i="2"/>
  <c r="G274" i="2"/>
  <c r="D274" i="2"/>
  <c r="AK273" i="2"/>
  <c r="AN273" i="2" s="1"/>
  <c r="AH273" i="2"/>
  <c r="Z273" i="2"/>
  <c r="AA273" i="2" s="1"/>
  <c r="AD273" i="2" s="1"/>
  <c r="Q273" i="2"/>
  <c r="R273" i="2" s="1"/>
  <c r="X273" i="2" s="1"/>
  <c r="H273" i="2"/>
  <c r="I273" i="2" s="1"/>
  <c r="L273" i="2" s="1"/>
  <c r="G273" i="2"/>
  <c r="D273" i="2"/>
  <c r="AL272" i="2"/>
  <c r="AH272" i="2"/>
  <c r="Z272" i="2"/>
  <c r="AD272" i="2" s="1"/>
  <c r="Q272" i="2"/>
  <c r="R272" i="2" s="1"/>
  <c r="X272" i="2" s="1"/>
  <c r="L272" i="2"/>
  <c r="N272" i="2" s="1"/>
  <c r="H272" i="2"/>
  <c r="G272" i="2"/>
  <c r="D272" i="2"/>
  <c r="AK271" i="2"/>
  <c r="AL271" i="2" s="1"/>
  <c r="AI271" i="2"/>
  <c r="AH271" i="2"/>
  <c r="Z271" i="2"/>
  <c r="AD271" i="2" s="1"/>
  <c r="Q271" i="2"/>
  <c r="R271" i="2" s="1"/>
  <c r="X271" i="2" s="1"/>
  <c r="L271" i="2"/>
  <c r="O271" i="2" s="1"/>
  <c r="H271" i="2"/>
  <c r="G271" i="2"/>
  <c r="D271" i="2"/>
  <c r="AK270" i="2"/>
  <c r="AL270" i="2" s="1"/>
  <c r="AH270" i="2"/>
  <c r="Z270" i="2"/>
  <c r="AD270" i="2" s="1"/>
  <c r="Q270" i="2"/>
  <c r="R270" i="2" s="1"/>
  <c r="X270" i="2" s="1"/>
  <c r="L270" i="2"/>
  <c r="N270" i="2" s="1"/>
  <c r="H270" i="2"/>
  <c r="G270" i="2"/>
  <c r="D270" i="2"/>
  <c r="AL269" i="2"/>
  <c r="AI269" i="2"/>
  <c r="AH269" i="2"/>
  <c r="Z269" i="2"/>
  <c r="AD269" i="2" s="1"/>
  <c r="Q269" i="2"/>
  <c r="R269" i="2" s="1"/>
  <c r="X269" i="2" s="1"/>
  <c r="L269" i="2"/>
  <c r="O269" i="2" s="1"/>
  <c r="H269" i="2"/>
  <c r="G269" i="2"/>
  <c r="D269" i="2"/>
  <c r="AL267" i="2"/>
  <c r="AH267" i="2"/>
  <c r="Z267" i="2"/>
  <c r="AD267" i="2" s="1"/>
  <c r="Q267" i="2"/>
  <c r="R267" i="2" s="1"/>
  <c r="X267" i="2" s="1"/>
  <c r="H267" i="2"/>
  <c r="I267" i="2" s="1"/>
  <c r="L267" i="2" s="1"/>
  <c r="N267" i="2" s="1"/>
  <c r="G267" i="2"/>
  <c r="D267" i="2"/>
  <c r="AK266" i="2"/>
  <c r="AN266" i="2" s="1"/>
  <c r="AH266" i="2"/>
  <c r="Z266" i="2"/>
  <c r="AD266" i="2" s="1"/>
  <c r="Q266" i="2"/>
  <c r="R266" i="2" s="1"/>
  <c r="X266" i="2" s="1"/>
  <c r="L266" i="2"/>
  <c r="O266" i="2" s="1"/>
  <c r="H266" i="2"/>
  <c r="G266" i="2"/>
  <c r="D266" i="2"/>
  <c r="AK265" i="2"/>
  <c r="AL265" i="2" s="1"/>
  <c r="AH265" i="2"/>
  <c r="Z265" i="2"/>
  <c r="AD265" i="2" s="1"/>
  <c r="Q265" i="2"/>
  <c r="R265" i="2" s="1"/>
  <c r="X265" i="2" s="1"/>
  <c r="L265" i="2"/>
  <c r="N265" i="2" s="1"/>
  <c r="H265" i="2"/>
  <c r="C265" i="2"/>
  <c r="D265" i="2" s="1"/>
  <c r="AK264" i="2"/>
  <c r="AL264" i="2" s="1"/>
  <c r="AH264" i="2"/>
  <c r="Z264" i="2"/>
  <c r="AD264" i="2" s="1"/>
  <c r="Q264" i="2"/>
  <c r="R264" i="2" s="1"/>
  <c r="X264" i="2" s="1"/>
  <c r="L264" i="2"/>
  <c r="O264" i="2" s="1"/>
  <c r="H264" i="2"/>
  <c r="G264" i="2"/>
  <c r="D264" i="2"/>
  <c r="AL263" i="2"/>
  <c r="AH263" i="2"/>
  <c r="Z263" i="2"/>
  <c r="AD263" i="2" s="1"/>
  <c r="Q263" i="2"/>
  <c r="R263" i="2" s="1"/>
  <c r="X263" i="2" s="1"/>
  <c r="H263" i="2"/>
  <c r="I263" i="2" s="1"/>
  <c r="L263" i="2" s="1"/>
  <c r="O263" i="2" s="1"/>
  <c r="G263" i="2"/>
  <c r="D263" i="2"/>
  <c r="AK262" i="2"/>
  <c r="AL262" i="2" s="1"/>
  <c r="AH262" i="2"/>
  <c r="Z262" i="2"/>
  <c r="AD262" i="2" s="1"/>
  <c r="Q262" i="2"/>
  <c r="R262" i="2" s="1"/>
  <c r="X262" i="2" s="1"/>
  <c r="H262" i="2"/>
  <c r="I262" i="2" s="1"/>
  <c r="L262" i="2" s="1"/>
  <c r="G262" i="2"/>
  <c r="D262" i="2"/>
  <c r="AK261" i="2"/>
  <c r="AN261" i="2" s="1"/>
  <c r="AE261" i="2"/>
  <c r="AH261" i="2" s="1"/>
  <c r="Z261" i="2"/>
  <c r="AD261" i="2" s="1"/>
  <c r="Q261" i="2"/>
  <c r="R261" i="2" s="1"/>
  <c r="X261" i="2" s="1"/>
  <c r="L261" i="2"/>
  <c r="H261" i="2"/>
  <c r="G261" i="2"/>
  <c r="D261" i="2"/>
  <c r="AK260" i="2"/>
  <c r="AN260" i="2" s="1"/>
  <c r="AE260" i="2"/>
  <c r="AH260" i="2" s="1"/>
  <c r="Z260" i="2"/>
  <c r="AD260" i="2" s="1"/>
  <c r="Q260" i="2"/>
  <c r="R260" i="2" s="1"/>
  <c r="X260" i="2" s="1"/>
  <c r="L260" i="2"/>
  <c r="O260" i="2" s="1"/>
  <c r="H260" i="2"/>
  <c r="G260" i="2"/>
  <c r="D260" i="2"/>
  <c r="AK259" i="2"/>
  <c r="AL259" i="2" s="1"/>
  <c r="AE259" i="2"/>
  <c r="AH259" i="2" s="1"/>
  <c r="Z259" i="2"/>
  <c r="AD259" i="2" s="1"/>
  <c r="Q259" i="2"/>
  <c r="R259" i="2" s="1"/>
  <c r="X259" i="2" s="1"/>
  <c r="L259" i="2"/>
  <c r="O259" i="2" s="1"/>
  <c r="H259" i="2"/>
  <c r="G259" i="2"/>
  <c r="D259" i="2"/>
  <c r="AK258" i="2"/>
  <c r="AL258" i="2" s="1"/>
  <c r="AH258" i="2"/>
  <c r="Z258" i="2"/>
  <c r="AD258" i="2" s="1"/>
  <c r="Q258" i="2"/>
  <c r="R258" i="2" s="1"/>
  <c r="X258" i="2" s="1"/>
  <c r="L258" i="2"/>
  <c r="H258" i="2"/>
  <c r="G258" i="2"/>
  <c r="D258" i="2"/>
  <c r="AK257" i="2"/>
  <c r="AN257" i="2" s="1"/>
  <c r="AH257" i="2"/>
  <c r="Z257" i="2"/>
  <c r="AD257" i="2" s="1"/>
  <c r="Q257" i="2"/>
  <c r="R257" i="2" s="1"/>
  <c r="X257" i="2" s="1"/>
  <c r="L257" i="2"/>
  <c r="N257" i="2" s="1"/>
  <c r="H257" i="2"/>
  <c r="G257" i="2"/>
  <c r="D257" i="2"/>
  <c r="AK256" i="2"/>
  <c r="AL256" i="2" s="1"/>
  <c r="AI256" i="2"/>
  <c r="AH256" i="2"/>
  <c r="Z256" i="2"/>
  <c r="AD256" i="2" s="1"/>
  <c r="Q256" i="2"/>
  <c r="R256" i="2" s="1"/>
  <c r="X256" i="2" s="1"/>
  <c r="L256" i="2"/>
  <c r="N256" i="2" s="1"/>
  <c r="H256" i="2"/>
  <c r="C256" i="2"/>
  <c r="G256" i="2" s="1"/>
  <c r="AL255" i="2"/>
  <c r="AH255" i="2"/>
  <c r="Z255" i="2"/>
  <c r="AD255" i="2" s="1"/>
  <c r="Q255" i="2"/>
  <c r="R255" i="2" s="1"/>
  <c r="X255" i="2" s="1"/>
  <c r="L255" i="2"/>
  <c r="H255" i="2"/>
  <c r="G255" i="2"/>
  <c r="D255" i="2"/>
  <c r="AL254" i="2"/>
  <c r="AH254" i="2"/>
  <c r="Q254" i="2"/>
  <c r="R254" i="2" s="1"/>
  <c r="X254" i="2" s="1"/>
  <c r="L254" i="2"/>
  <c r="O254" i="2" s="1"/>
  <c r="H254" i="2"/>
  <c r="G254" i="2"/>
  <c r="D254" i="2"/>
  <c r="Z254" i="2" s="1"/>
  <c r="AD254" i="2" s="1"/>
  <c r="AK253" i="2"/>
  <c r="AN253" i="2" s="1"/>
  <c r="AI253" i="2"/>
  <c r="AH253" i="2"/>
  <c r="Z253" i="2"/>
  <c r="AD253" i="2" s="1"/>
  <c r="Q253" i="2"/>
  <c r="R253" i="2" s="1"/>
  <c r="X253" i="2" s="1"/>
  <c r="L253" i="2"/>
  <c r="H253" i="2"/>
  <c r="G253" i="2"/>
  <c r="D253" i="2"/>
  <c r="AK252" i="2"/>
  <c r="AL252" i="2" s="1"/>
  <c r="AH252" i="2"/>
  <c r="Z252" i="2"/>
  <c r="AD252" i="2" s="1"/>
  <c r="Q252" i="2"/>
  <c r="R252" i="2" s="1"/>
  <c r="X252" i="2" s="1"/>
  <c r="L252" i="2"/>
  <c r="H252" i="2"/>
  <c r="C252" i="2"/>
  <c r="G252" i="2" s="1"/>
  <c r="AK251" i="2"/>
  <c r="AL251" i="2" s="1"/>
  <c r="AI251" i="2"/>
  <c r="AF251" i="2"/>
  <c r="AH251" i="2" s="1"/>
  <c r="Z251" i="2"/>
  <c r="AD251" i="2" s="1"/>
  <c r="Q251" i="2"/>
  <c r="R251" i="2" s="1"/>
  <c r="X251" i="2" s="1"/>
  <c r="L251" i="2"/>
  <c r="O251" i="2" s="1"/>
  <c r="H251" i="2"/>
  <c r="G251" i="2"/>
  <c r="D251" i="2"/>
  <c r="AK250" i="2"/>
  <c r="AL250" i="2" s="1"/>
  <c r="AH250" i="2"/>
  <c r="Q250" i="2"/>
  <c r="R250" i="2" s="1"/>
  <c r="X250" i="2" s="1"/>
  <c r="L250" i="2"/>
  <c r="O250" i="2" s="1"/>
  <c r="H250" i="2"/>
  <c r="G250" i="2"/>
  <c r="D250" i="2"/>
  <c r="Z250" i="2" s="1"/>
  <c r="AD250" i="2" s="1"/>
  <c r="AK249" i="2"/>
  <c r="AL249" i="2" s="1"/>
  <c r="AI249" i="2"/>
  <c r="AH249" i="2"/>
  <c r="Z249" i="2"/>
  <c r="AD249" i="2" s="1"/>
  <c r="Q249" i="2"/>
  <c r="R249" i="2" s="1"/>
  <c r="X249" i="2" s="1"/>
  <c r="L249" i="2"/>
  <c r="N249" i="2" s="1"/>
  <c r="H249" i="2"/>
  <c r="G249" i="2"/>
  <c r="D249" i="2"/>
  <c r="AK248" i="2"/>
  <c r="AL248" i="2" s="1"/>
  <c r="AH248" i="2"/>
  <c r="Z248" i="2"/>
  <c r="AD248" i="2" s="1"/>
  <c r="Q248" i="2"/>
  <c r="R248" i="2" s="1"/>
  <c r="X248" i="2" s="1"/>
  <c r="H248" i="2"/>
  <c r="I248" i="2" s="1"/>
  <c r="L248" i="2" s="1"/>
  <c r="G248" i="2"/>
  <c r="D248" i="2"/>
  <c r="AL247" i="2"/>
  <c r="AH247" i="2"/>
  <c r="Z247" i="2"/>
  <c r="AD247" i="2" s="1"/>
  <c r="Q247" i="2"/>
  <c r="R247" i="2" s="1"/>
  <c r="X247" i="2" s="1"/>
  <c r="H247" i="2"/>
  <c r="I247" i="2" s="1"/>
  <c r="L247" i="2" s="1"/>
  <c r="G247" i="2"/>
  <c r="D247" i="2"/>
  <c r="AL246" i="2"/>
  <c r="AK245" i="2"/>
  <c r="AL245" i="2" s="1"/>
  <c r="AI245" i="2"/>
  <c r="AH245" i="2"/>
  <c r="Z245" i="2"/>
  <c r="AD245" i="2" s="1"/>
  <c r="Q245" i="2"/>
  <c r="R245" i="2" s="1"/>
  <c r="X245" i="2" s="1"/>
  <c r="H245" i="2"/>
  <c r="I245" i="2" s="1"/>
  <c r="L245" i="2" s="1"/>
  <c r="G245" i="2"/>
  <c r="D245" i="2"/>
  <c r="AL244" i="2"/>
  <c r="AH244" i="2"/>
  <c r="Z244" i="2"/>
  <c r="AD244" i="2" s="1"/>
  <c r="Q244" i="2"/>
  <c r="R244" i="2" s="1"/>
  <c r="X244" i="2" s="1"/>
  <c r="L244" i="2"/>
  <c r="H244" i="2"/>
  <c r="G244" i="2"/>
  <c r="D244" i="2"/>
  <c r="AK243" i="2"/>
  <c r="AL243" i="2" s="1"/>
  <c r="AH243" i="2"/>
  <c r="Z243" i="2"/>
  <c r="AD243" i="2" s="1"/>
  <c r="Q243" i="2"/>
  <c r="R243" i="2" s="1"/>
  <c r="X243" i="2" s="1"/>
  <c r="L243" i="2"/>
  <c r="H243" i="2"/>
  <c r="G243" i="2"/>
  <c r="D243" i="2"/>
  <c r="AK242" i="2"/>
  <c r="AN242" i="2" s="1"/>
  <c r="AH242" i="2"/>
  <c r="Z242" i="2"/>
  <c r="AD242" i="2" s="1"/>
  <c r="Q242" i="2"/>
  <c r="R242" i="2" s="1"/>
  <c r="X242" i="2" s="1"/>
  <c r="L242" i="2"/>
  <c r="O242" i="2" s="1"/>
  <c r="H242" i="2"/>
  <c r="G242" i="2"/>
  <c r="D242" i="2"/>
  <c r="AL241" i="2"/>
  <c r="AH241" i="2"/>
  <c r="Z241" i="2"/>
  <c r="AD241" i="2" s="1"/>
  <c r="Q241" i="2"/>
  <c r="R241" i="2" s="1"/>
  <c r="X241" i="2" s="1"/>
  <c r="L241" i="2"/>
  <c r="H241" i="2"/>
  <c r="G241" i="2"/>
  <c r="D241" i="2"/>
  <c r="AK240" i="2"/>
  <c r="AN240" i="2" s="1"/>
  <c r="AH240" i="2"/>
  <c r="Z240" i="2"/>
  <c r="AD240" i="2" s="1"/>
  <c r="Q240" i="2"/>
  <c r="R240" i="2" s="1"/>
  <c r="X240" i="2" s="1"/>
  <c r="L240" i="2"/>
  <c r="N240" i="2" s="1"/>
  <c r="H240" i="2"/>
  <c r="G240" i="2"/>
  <c r="D240" i="2"/>
  <c r="AK239" i="2"/>
  <c r="AL239" i="2" s="1"/>
  <c r="AH239" i="2"/>
  <c r="Z239" i="2"/>
  <c r="AD239" i="2" s="1"/>
  <c r="Q239" i="2"/>
  <c r="R239" i="2" s="1"/>
  <c r="X239" i="2" s="1"/>
  <c r="L239" i="2"/>
  <c r="H239" i="2"/>
  <c r="G239" i="2"/>
  <c r="D239" i="2"/>
  <c r="AK238" i="2"/>
  <c r="AN238" i="2" s="1"/>
  <c r="AH238" i="2"/>
  <c r="Z238" i="2"/>
  <c r="AD238" i="2" s="1"/>
  <c r="Q238" i="2"/>
  <c r="R238" i="2" s="1"/>
  <c r="X238" i="2" s="1"/>
  <c r="L238" i="2"/>
  <c r="N238" i="2" s="1"/>
  <c r="H238" i="2"/>
  <c r="G238" i="2"/>
  <c r="D238" i="2"/>
  <c r="AK237" i="2"/>
  <c r="AL237" i="2" s="1"/>
  <c r="AH237" i="2"/>
  <c r="Z237" i="2"/>
  <c r="AD237" i="2" s="1"/>
  <c r="Q237" i="2"/>
  <c r="R237" i="2" s="1"/>
  <c r="X237" i="2" s="1"/>
  <c r="L237" i="2"/>
  <c r="H237" i="2"/>
  <c r="G237" i="2"/>
  <c r="D237" i="2"/>
  <c r="AL236" i="2"/>
  <c r="AH236" i="2"/>
  <c r="Z236" i="2"/>
  <c r="AD236" i="2" s="1"/>
  <c r="Q236" i="2"/>
  <c r="R236" i="2" s="1"/>
  <c r="X236" i="2" s="1"/>
  <c r="L236" i="2"/>
  <c r="O236" i="2" s="1"/>
  <c r="H236" i="2"/>
  <c r="G236" i="2"/>
  <c r="D236" i="2"/>
  <c r="AL235" i="2"/>
  <c r="AH235" i="2"/>
  <c r="Z235" i="2"/>
  <c r="AD235" i="2" s="1"/>
  <c r="Q235" i="2"/>
  <c r="R235" i="2" s="1"/>
  <c r="X235" i="2" s="1"/>
  <c r="L235" i="2"/>
  <c r="N235" i="2" s="1"/>
  <c r="H235" i="2"/>
  <c r="G235" i="2"/>
  <c r="D235" i="2"/>
  <c r="AK234" i="2"/>
  <c r="AL234" i="2" s="1"/>
  <c r="AI234" i="2"/>
  <c r="AE234" i="2"/>
  <c r="AH234" i="2" s="1"/>
  <c r="Z234" i="2"/>
  <c r="AD234" i="2" s="1"/>
  <c r="T234" i="2"/>
  <c r="S234" i="2"/>
  <c r="Q234" i="2"/>
  <c r="R234" i="2" s="1"/>
  <c r="K234" i="2"/>
  <c r="K282" i="2" s="1"/>
  <c r="H234" i="2"/>
  <c r="I234" i="2" s="1"/>
  <c r="C234" i="2"/>
  <c r="D234" i="2" s="1"/>
  <c r="AK233" i="2"/>
  <c r="AL233" i="2" s="1"/>
  <c r="AI233" i="2"/>
  <c r="AH233" i="2"/>
  <c r="Z233" i="2"/>
  <c r="AD233" i="2" s="1"/>
  <c r="Q233" i="2"/>
  <c r="R233" i="2" s="1"/>
  <c r="X233" i="2" s="1"/>
  <c r="H233" i="2"/>
  <c r="I233" i="2" s="1"/>
  <c r="L233" i="2" s="1"/>
  <c r="N233" i="2" s="1"/>
  <c r="G233" i="2"/>
  <c r="D233" i="2"/>
  <c r="AK232" i="2"/>
  <c r="AL232" i="2" s="1"/>
  <c r="AE232" i="2"/>
  <c r="AH232" i="2" s="1"/>
  <c r="Z232" i="2"/>
  <c r="AD232" i="2" s="1"/>
  <c r="Q232" i="2"/>
  <c r="R232" i="2" s="1"/>
  <c r="X232" i="2" s="1"/>
  <c r="H232" i="2"/>
  <c r="I232" i="2" s="1"/>
  <c r="L232" i="2" s="1"/>
  <c r="N232" i="2" s="1"/>
  <c r="G232" i="2"/>
  <c r="D232" i="2"/>
  <c r="AL231" i="2"/>
  <c r="AI231" i="2"/>
  <c r="AH231" i="2"/>
  <c r="Z231" i="2"/>
  <c r="AD231" i="2" s="1"/>
  <c r="Q231" i="2"/>
  <c r="R231" i="2" s="1"/>
  <c r="X231" i="2" s="1"/>
  <c r="L231" i="2"/>
  <c r="H231" i="2"/>
  <c r="G231" i="2"/>
  <c r="D231" i="2"/>
  <c r="AK230" i="2"/>
  <c r="AL230" i="2" s="1"/>
  <c r="AH230" i="2"/>
  <c r="Z230" i="2"/>
  <c r="AD230" i="2" s="1"/>
  <c r="Q230" i="2"/>
  <c r="R230" i="2" s="1"/>
  <c r="X230" i="2" s="1"/>
  <c r="H230" i="2"/>
  <c r="I230" i="2" s="1"/>
  <c r="L230" i="2" s="1"/>
  <c r="G230" i="2"/>
  <c r="D230" i="2"/>
  <c r="AK229" i="2"/>
  <c r="AI229" i="2"/>
  <c r="AH229" i="2"/>
  <c r="Z229" i="2"/>
  <c r="AD229" i="2" s="1"/>
  <c r="S229" i="2"/>
  <c r="Q229" i="2"/>
  <c r="R229" i="2" s="1"/>
  <c r="L229" i="2"/>
  <c r="H229" i="2"/>
  <c r="G229" i="2"/>
  <c r="D229" i="2"/>
  <c r="AK228" i="2"/>
  <c r="AI228" i="2"/>
  <c r="AH228" i="2"/>
  <c r="Z228" i="2"/>
  <c r="AD228" i="2" s="1"/>
  <c r="S228" i="2"/>
  <c r="Q228" i="2"/>
  <c r="R228" i="2" s="1"/>
  <c r="L228" i="2"/>
  <c r="H228" i="2"/>
  <c r="G228" i="2"/>
  <c r="D228" i="2"/>
  <c r="AK227" i="2"/>
  <c r="AN227" i="2" s="1"/>
  <c r="AH227" i="2"/>
  <c r="Z227" i="2"/>
  <c r="AD227" i="2" s="1"/>
  <c r="Q227" i="2"/>
  <c r="R227" i="2" s="1"/>
  <c r="X227" i="2" s="1"/>
  <c r="L227" i="2"/>
  <c r="H227" i="2"/>
  <c r="G227" i="2"/>
  <c r="D227" i="2"/>
  <c r="AK226" i="2"/>
  <c r="AH226" i="2"/>
  <c r="Z226" i="2"/>
  <c r="AD226" i="2" s="1"/>
  <c r="Q226" i="2"/>
  <c r="R226" i="2" s="1"/>
  <c r="X226" i="2" s="1"/>
  <c r="L226" i="2"/>
  <c r="H226" i="2"/>
  <c r="G226" i="2"/>
  <c r="D226" i="2"/>
  <c r="AK225" i="2"/>
  <c r="AN225" i="2" s="1"/>
  <c r="AH225" i="2"/>
  <c r="Z225" i="2"/>
  <c r="AD225" i="2" s="1"/>
  <c r="Q225" i="2"/>
  <c r="R225" i="2" s="1"/>
  <c r="X225" i="2" s="1"/>
  <c r="L225" i="2"/>
  <c r="H225" i="2"/>
  <c r="G225" i="2"/>
  <c r="D225" i="2"/>
  <c r="AK224" i="2"/>
  <c r="AL224" i="2" s="1"/>
  <c r="AH224" i="2"/>
  <c r="Z224" i="2"/>
  <c r="AD224" i="2" s="1"/>
  <c r="Q224" i="2"/>
  <c r="R224" i="2" s="1"/>
  <c r="X224" i="2" s="1"/>
  <c r="L224" i="2"/>
  <c r="O224" i="2" s="1"/>
  <c r="H224" i="2"/>
  <c r="G224" i="2"/>
  <c r="D224" i="2"/>
  <c r="AK223" i="2"/>
  <c r="AH223" i="2"/>
  <c r="Z223" i="2"/>
  <c r="AD223" i="2" s="1"/>
  <c r="Q223" i="2"/>
  <c r="R223" i="2" s="1"/>
  <c r="X223" i="2" s="1"/>
  <c r="L223" i="2"/>
  <c r="N223" i="2" s="1"/>
  <c r="H223" i="2"/>
  <c r="G223" i="2"/>
  <c r="D223" i="2"/>
  <c r="AK222" i="2"/>
  <c r="AE222" i="2"/>
  <c r="AH222" i="2" s="1"/>
  <c r="Z222" i="2"/>
  <c r="AD222" i="2" s="1"/>
  <c r="Q222" i="2"/>
  <c r="R222" i="2" s="1"/>
  <c r="X222" i="2" s="1"/>
  <c r="L222" i="2"/>
  <c r="N222" i="2" s="1"/>
  <c r="H222" i="2"/>
  <c r="G222" i="2"/>
  <c r="D222" i="2"/>
  <c r="AL221" i="2"/>
  <c r="AH221" i="2"/>
  <c r="Z221" i="2"/>
  <c r="AD221" i="2" s="1"/>
  <c r="Q221" i="2"/>
  <c r="R221" i="2" s="1"/>
  <c r="X221" i="2" s="1"/>
  <c r="H221" i="2"/>
  <c r="I221" i="2" s="1"/>
  <c r="L221" i="2" s="1"/>
  <c r="N221" i="2" s="1"/>
  <c r="G221" i="2"/>
  <c r="D221" i="2"/>
  <c r="AK220" i="2"/>
  <c r="AL220" i="2" s="1"/>
  <c r="AH220" i="2"/>
  <c r="Z220" i="2"/>
  <c r="AD220" i="2" s="1"/>
  <c r="Q220" i="2"/>
  <c r="R220" i="2" s="1"/>
  <c r="X220" i="2" s="1"/>
  <c r="H220" i="2"/>
  <c r="I220" i="2" s="1"/>
  <c r="L220" i="2" s="1"/>
  <c r="G220" i="2"/>
  <c r="D220" i="2"/>
  <c r="AK219" i="2"/>
  <c r="AL219" i="2" s="1"/>
  <c r="AH219" i="2"/>
  <c r="Z219" i="2"/>
  <c r="AD219" i="2" s="1"/>
  <c r="Q219" i="2"/>
  <c r="R219" i="2" s="1"/>
  <c r="X219" i="2" s="1"/>
  <c r="L219" i="2"/>
  <c r="H219" i="2"/>
  <c r="G219" i="2"/>
  <c r="D219" i="2"/>
  <c r="AL218" i="2"/>
  <c r="AH218" i="2"/>
  <c r="Z218" i="2"/>
  <c r="AA218" i="2" s="1"/>
  <c r="Q218" i="2"/>
  <c r="R218" i="2" s="1"/>
  <c r="X218" i="2" s="1"/>
  <c r="L218" i="2"/>
  <c r="N218" i="2" s="1"/>
  <c r="H218" i="2"/>
  <c r="C218" i="2"/>
  <c r="D218" i="2" s="1"/>
  <c r="AK217" i="2"/>
  <c r="AN217" i="2" s="1"/>
  <c r="AI217" i="2"/>
  <c r="AF217" i="2"/>
  <c r="AE217" i="2"/>
  <c r="Z217" i="2"/>
  <c r="AD217" i="2" s="1"/>
  <c r="Q217" i="2"/>
  <c r="R217" i="2" s="1"/>
  <c r="X217" i="2" s="1"/>
  <c r="L217" i="2"/>
  <c r="H217" i="2"/>
  <c r="G217" i="2"/>
  <c r="D217" i="2"/>
  <c r="AL216" i="2"/>
  <c r="AI216" i="2"/>
  <c r="AH216" i="2"/>
  <c r="Z216" i="2"/>
  <c r="AD216" i="2" s="1"/>
  <c r="Q216" i="2"/>
  <c r="R216" i="2" s="1"/>
  <c r="X216" i="2" s="1"/>
  <c r="L216" i="2"/>
  <c r="N216" i="2" s="1"/>
  <c r="H216" i="2"/>
  <c r="G216" i="2"/>
  <c r="D216" i="2"/>
  <c r="AK215" i="2"/>
  <c r="AL215" i="2" s="1"/>
  <c r="AH215" i="2"/>
  <c r="Z215" i="2"/>
  <c r="AD215" i="2" s="1"/>
  <c r="Q215" i="2"/>
  <c r="R215" i="2" s="1"/>
  <c r="X215" i="2" s="1"/>
  <c r="L215" i="2"/>
  <c r="O215" i="2" s="1"/>
  <c r="H215" i="2"/>
  <c r="C215" i="2"/>
  <c r="AL214" i="2"/>
  <c r="AI214" i="2"/>
  <c r="AH214" i="2"/>
  <c r="Z214" i="2"/>
  <c r="AD214" i="2" s="1"/>
  <c r="Q214" i="2"/>
  <c r="R214" i="2" s="1"/>
  <c r="X214" i="2" s="1"/>
  <c r="L214" i="2"/>
  <c r="N214" i="2" s="1"/>
  <c r="H214" i="2"/>
  <c r="C214" i="2"/>
  <c r="AL213" i="2"/>
  <c r="AH213" i="2"/>
  <c r="Z213" i="2"/>
  <c r="AD213" i="2" s="1"/>
  <c r="Q213" i="2"/>
  <c r="R213" i="2" s="1"/>
  <c r="X213" i="2" s="1"/>
  <c r="L213" i="2"/>
  <c r="O213" i="2" s="1"/>
  <c r="H213" i="2"/>
  <c r="G213" i="2"/>
  <c r="D213" i="2"/>
  <c r="AL212" i="2"/>
  <c r="AH212" i="2"/>
  <c r="Z212" i="2"/>
  <c r="AD212" i="2" s="1"/>
  <c r="Q212" i="2"/>
  <c r="R212" i="2" s="1"/>
  <c r="X212" i="2" s="1"/>
  <c r="L212" i="2"/>
  <c r="N212" i="2" s="1"/>
  <c r="H212" i="2"/>
  <c r="G212" i="2"/>
  <c r="D212" i="2"/>
  <c r="AK211" i="2"/>
  <c r="AL211" i="2" s="1"/>
  <c r="AI211" i="2"/>
  <c r="AH211" i="2"/>
  <c r="Z211" i="2"/>
  <c r="AD211" i="2" s="1"/>
  <c r="Q211" i="2"/>
  <c r="R211" i="2" s="1"/>
  <c r="X211" i="2" s="1"/>
  <c r="L211" i="2"/>
  <c r="N211" i="2" s="1"/>
  <c r="H211" i="2"/>
  <c r="G211" i="2"/>
  <c r="D211" i="2"/>
  <c r="AK210" i="2"/>
  <c r="AI210" i="2"/>
  <c r="AH210" i="2"/>
  <c r="Z210" i="2"/>
  <c r="AD210" i="2" s="1"/>
  <c r="Q210" i="2"/>
  <c r="R210" i="2" s="1"/>
  <c r="X210" i="2" s="1"/>
  <c r="L210" i="2"/>
  <c r="H210" i="2"/>
  <c r="G210" i="2"/>
  <c r="D210" i="2"/>
  <c r="AL209" i="2"/>
  <c r="AH209" i="2"/>
  <c r="Z209" i="2"/>
  <c r="AD209" i="2" s="1"/>
  <c r="Q209" i="2"/>
  <c r="R209" i="2" s="1"/>
  <c r="X209" i="2" s="1"/>
  <c r="H209" i="2"/>
  <c r="I209" i="2" s="1"/>
  <c r="L209" i="2" s="1"/>
  <c r="N209" i="2" s="1"/>
  <c r="G209" i="2"/>
  <c r="D209" i="2"/>
  <c r="AK208" i="2"/>
  <c r="AN208" i="2" s="1"/>
  <c r="AI208" i="2"/>
  <c r="AH208" i="2"/>
  <c r="Z208" i="2"/>
  <c r="AD208" i="2" s="1"/>
  <c r="Q208" i="2"/>
  <c r="R208" i="2" s="1"/>
  <c r="X208" i="2" s="1"/>
  <c r="L208" i="2"/>
  <c r="O208" i="2" s="1"/>
  <c r="H208" i="2"/>
  <c r="G208" i="2"/>
  <c r="D208" i="2"/>
  <c r="AK207" i="2"/>
  <c r="AN207" i="2" s="1"/>
  <c r="AE207" i="2"/>
  <c r="AH207" i="2" s="1"/>
  <c r="Z207" i="2"/>
  <c r="AD207" i="2" s="1"/>
  <c r="Q207" i="2"/>
  <c r="R207" i="2" s="1"/>
  <c r="X207" i="2" s="1"/>
  <c r="L207" i="2"/>
  <c r="H207" i="2"/>
  <c r="G207" i="2"/>
  <c r="D207" i="2"/>
  <c r="AK206" i="2"/>
  <c r="AI206" i="2"/>
  <c r="AH206" i="2"/>
  <c r="Z206" i="2"/>
  <c r="AD206" i="2" s="1"/>
  <c r="Q206" i="2"/>
  <c r="R206" i="2" s="1"/>
  <c r="X206" i="2" s="1"/>
  <c r="L206" i="2"/>
  <c r="N206" i="2" s="1"/>
  <c r="H206" i="2"/>
  <c r="G206" i="2"/>
  <c r="D206" i="2"/>
  <c r="AK205" i="2"/>
  <c r="AL205" i="2" s="1"/>
  <c r="AI205" i="2"/>
  <c r="AH205" i="2"/>
  <c r="Z205" i="2"/>
  <c r="AD205" i="2" s="1"/>
  <c r="T205" i="2"/>
  <c r="S205" i="2"/>
  <c r="Q205" i="2"/>
  <c r="R205" i="2" s="1"/>
  <c r="H205" i="2"/>
  <c r="I205" i="2" s="1"/>
  <c r="L205" i="2" s="1"/>
  <c r="G205" i="2"/>
  <c r="D205" i="2"/>
  <c r="AK204" i="2"/>
  <c r="AL204" i="2" s="1"/>
  <c r="AH204" i="2"/>
  <c r="Z204" i="2"/>
  <c r="AD204" i="2" s="1"/>
  <c r="S204" i="2"/>
  <c r="Q204" i="2"/>
  <c r="R204" i="2" s="1"/>
  <c r="H204" i="2"/>
  <c r="I204" i="2" s="1"/>
  <c r="L204" i="2" s="1"/>
  <c r="G204" i="2"/>
  <c r="D204" i="2"/>
  <c r="AK203" i="2"/>
  <c r="AN203" i="2" s="1"/>
  <c r="AE203" i="2"/>
  <c r="AH203" i="2" s="1"/>
  <c r="Z203" i="2"/>
  <c r="AD203" i="2" s="1"/>
  <c r="S203" i="2"/>
  <c r="Q203" i="2"/>
  <c r="R203" i="2" s="1"/>
  <c r="H203" i="2"/>
  <c r="I203" i="2" s="1"/>
  <c r="L203" i="2" s="1"/>
  <c r="G203" i="2"/>
  <c r="D203" i="2"/>
  <c r="AK202" i="2"/>
  <c r="AH202" i="2"/>
  <c r="Z202" i="2"/>
  <c r="AD202" i="2" s="1"/>
  <c r="T202" i="2"/>
  <c r="S202" i="2"/>
  <c r="Q202" i="2"/>
  <c r="R202" i="2" s="1"/>
  <c r="H202" i="2"/>
  <c r="I202" i="2" s="1"/>
  <c r="L202" i="2" s="1"/>
  <c r="G202" i="2"/>
  <c r="D202" i="2"/>
  <c r="AK201" i="2"/>
  <c r="AL201" i="2" s="1"/>
  <c r="AH201" i="2"/>
  <c r="Z201" i="2"/>
  <c r="AD201" i="2" s="1"/>
  <c r="Q201" i="2"/>
  <c r="R201" i="2" s="1"/>
  <c r="X201" i="2" s="1"/>
  <c r="L201" i="2"/>
  <c r="H201" i="2"/>
  <c r="G201" i="2"/>
  <c r="D201" i="2"/>
  <c r="AL200" i="2"/>
  <c r="AH200" i="2"/>
  <c r="Z200" i="2"/>
  <c r="AD200" i="2" s="1"/>
  <c r="Q200" i="2"/>
  <c r="R200" i="2" s="1"/>
  <c r="X200" i="2" s="1"/>
  <c r="H200" i="2"/>
  <c r="I200" i="2" s="1"/>
  <c r="L200" i="2" s="1"/>
  <c r="G200" i="2"/>
  <c r="D200" i="2"/>
  <c r="AK199" i="2"/>
  <c r="AH199" i="2"/>
  <c r="Z199" i="2"/>
  <c r="AD199" i="2" s="1"/>
  <c r="Q199" i="2"/>
  <c r="R199" i="2" s="1"/>
  <c r="X199" i="2" s="1"/>
  <c r="L199" i="2"/>
  <c r="O199" i="2" s="1"/>
  <c r="H199" i="2"/>
  <c r="G199" i="2"/>
  <c r="D199" i="2"/>
  <c r="AK198" i="2"/>
  <c r="AL198" i="2" s="1"/>
  <c r="AH198" i="2"/>
  <c r="Z198" i="2"/>
  <c r="AD198" i="2" s="1"/>
  <c r="Q198" i="2"/>
  <c r="R198" i="2" s="1"/>
  <c r="X198" i="2" s="1"/>
  <c r="L198" i="2"/>
  <c r="H198" i="2"/>
  <c r="G198" i="2"/>
  <c r="D198" i="2"/>
  <c r="AL197" i="2"/>
  <c r="AH197" i="2"/>
  <c r="Z197" i="2"/>
  <c r="AD197" i="2" s="1"/>
  <c r="Q197" i="2"/>
  <c r="R197" i="2" s="1"/>
  <c r="X197" i="2" s="1"/>
  <c r="L197" i="2"/>
  <c r="H197" i="2"/>
  <c r="G197" i="2"/>
  <c r="D197" i="2"/>
  <c r="AK196" i="2"/>
  <c r="AI196" i="2"/>
  <c r="AC196" i="2"/>
  <c r="Z196" i="2"/>
  <c r="Q196" i="2"/>
  <c r="R196" i="2" s="1"/>
  <c r="X196" i="2" s="1"/>
  <c r="L196" i="2"/>
  <c r="H196" i="2"/>
  <c r="G196" i="2"/>
  <c r="D196" i="2"/>
  <c r="AK195" i="2"/>
  <c r="AN195" i="2" s="1"/>
  <c r="AH195" i="2"/>
  <c r="Z195" i="2"/>
  <c r="AD195" i="2" s="1"/>
  <c r="Q195" i="2"/>
  <c r="R195" i="2" s="1"/>
  <c r="X195" i="2" s="1"/>
  <c r="H195" i="2"/>
  <c r="I195" i="2" s="1"/>
  <c r="L195" i="2" s="1"/>
  <c r="C195" i="2"/>
  <c r="AK194" i="2"/>
  <c r="AN194" i="2" s="1"/>
  <c r="AH194" i="2"/>
  <c r="Z194" i="2"/>
  <c r="AD194" i="2" s="1"/>
  <c r="Q194" i="2"/>
  <c r="R194" i="2" s="1"/>
  <c r="X194" i="2" s="1"/>
  <c r="L194" i="2"/>
  <c r="H194" i="2"/>
  <c r="G194" i="2"/>
  <c r="D194" i="2"/>
  <c r="AK193" i="2"/>
  <c r="AI193" i="2"/>
  <c r="AH193" i="2"/>
  <c r="Z193" i="2"/>
  <c r="AD193" i="2" s="1"/>
  <c r="Q193" i="2"/>
  <c r="R193" i="2" s="1"/>
  <c r="X193" i="2" s="1"/>
  <c r="I193" i="2"/>
  <c r="L193" i="2" s="1"/>
  <c r="H193" i="2"/>
  <c r="G193" i="2"/>
  <c r="D193" i="2"/>
  <c r="AL192" i="2"/>
  <c r="AI192" i="2"/>
  <c r="AH192" i="2"/>
  <c r="Z192" i="2"/>
  <c r="AD192" i="2" s="1"/>
  <c r="S192" i="2"/>
  <c r="Q192" i="2"/>
  <c r="R192" i="2" s="1"/>
  <c r="L192" i="2"/>
  <c r="N192" i="2" s="1"/>
  <c r="H192" i="2"/>
  <c r="G192" i="2"/>
  <c r="D192" i="2"/>
  <c r="AL191" i="2"/>
  <c r="AF191" i="2"/>
  <c r="AH191" i="2" s="1"/>
  <c r="Z191" i="2"/>
  <c r="AD191" i="2" s="1"/>
  <c r="Q191" i="2"/>
  <c r="R191" i="2" s="1"/>
  <c r="X191" i="2" s="1"/>
  <c r="L191" i="2"/>
  <c r="H191" i="2"/>
  <c r="G191" i="2"/>
  <c r="D191" i="2"/>
  <c r="AK190" i="2"/>
  <c r="AE190" i="2"/>
  <c r="AH190" i="2" s="1"/>
  <c r="Z190" i="2"/>
  <c r="AD190" i="2" s="1"/>
  <c r="Q190" i="2"/>
  <c r="R190" i="2" s="1"/>
  <c r="X190" i="2" s="1"/>
  <c r="L190" i="2"/>
  <c r="H190" i="2"/>
  <c r="G190" i="2"/>
  <c r="D190" i="2"/>
  <c r="AL189" i="2"/>
  <c r="AE189" i="2"/>
  <c r="AH189" i="2" s="1"/>
  <c r="Z189" i="2"/>
  <c r="AD189" i="2" s="1"/>
  <c r="Q189" i="2"/>
  <c r="R189" i="2" s="1"/>
  <c r="X189" i="2" s="1"/>
  <c r="L189" i="2"/>
  <c r="O189" i="2" s="1"/>
  <c r="H189" i="2"/>
  <c r="G189" i="2"/>
  <c r="D189" i="2"/>
  <c r="AL188" i="2"/>
  <c r="AE188" i="2"/>
  <c r="AH188" i="2" s="1"/>
  <c r="Z188" i="2"/>
  <c r="AD188" i="2" s="1"/>
  <c r="Q188" i="2"/>
  <c r="R188" i="2" s="1"/>
  <c r="X188" i="2" s="1"/>
  <c r="L188" i="2"/>
  <c r="H188" i="2"/>
  <c r="G188" i="2"/>
  <c r="D188" i="2"/>
  <c r="AK187" i="2"/>
  <c r="AI187" i="2"/>
  <c r="AF187" i="2"/>
  <c r="AH187" i="2" s="1"/>
  <c r="Z187" i="2"/>
  <c r="AD187" i="2" s="1"/>
  <c r="Q187" i="2"/>
  <c r="R187" i="2" s="1"/>
  <c r="X187" i="2" s="1"/>
  <c r="L187" i="2"/>
  <c r="H187" i="2"/>
  <c r="G187" i="2"/>
  <c r="D187" i="2"/>
  <c r="AK186" i="2"/>
  <c r="AH186" i="2"/>
  <c r="Z186" i="2"/>
  <c r="AD186" i="2" s="1"/>
  <c r="Q186" i="2"/>
  <c r="R186" i="2" s="1"/>
  <c r="X186" i="2" s="1"/>
  <c r="L186" i="2"/>
  <c r="O186" i="2" s="1"/>
  <c r="H186" i="2"/>
  <c r="G186" i="2"/>
  <c r="D186" i="2"/>
  <c r="AL185" i="2"/>
  <c r="AH185" i="2"/>
  <c r="Z185" i="2"/>
  <c r="AD185" i="2" s="1"/>
  <c r="Q185" i="2"/>
  <c r="R185" i="2" s="1"/>
  <c r="X185" i="2" s="1"/>
  <c r="H185" i="2"/>
  <c r="I185" i="2" s="1"/>
  <c r="L185" i="2" s="1"/>
  <c r="G185" i="2"/>
  <c r="D185" i="2"/>
  <c r="AL184" i="2"/>
  <c r="AI184" i="2"/>
  <c r="AE184" i="2"/>
  <c r="Z184" i="2"/>
  <c r="AD184" i="2" s="1"/>
  <c r="Q184" i="2"/>
  <c r="R184" i="2" s="1"/>
  <c r="X184" i="2" s="1"/>
  <c r="L184" i="2"/>
  <c r="H184" i="2"/>
  <c r="G184" i="2"/>
  <c r="D184" i="2"/>
  <c r="AK183" i="2"/>
  <c r="AH183" i="2"/>
  <c r="Z183" i="2"/>
  <c r="AD183" i="2" s="1"/>
  <c r="Q183" i="2"/>
  <c r="R183" i="2" s="1"/>
  <c r="X183" i="2" s="1"/>
  <c r="L183" i="2"/>
  <c r="H183" i="2"/>
  <c r="G183" i="2"/>
  <c r="D183" i="2"/>
  <c r="AK182" i="2"/>
  <c r="AN182" i="2" s="1"/>
  <c r="AI182" i="2"/>
  <c r="AH182" i="2"/>
  <c r="Z182" i="2"/>
  <c r="AD182" i="2" s="1"/>
  <c r="Q182" i="2"/>
  <c r="R182" i="2" s="1"/>
  <c r="X182" i="2" s="1"/>
  <c r="I182" i="2"/>
  <c r="L182" i="2" s="1"/>
  <c r="H182" i="2"/>
  <c r="G182" i="2"/>
  <c r="D182" i="2"/>
  <c r="AL181" i="2"/>
  <c r="AI181" i="2"/>
  <c r="AH181" i="2"/>
  <c r="Z181" i="2"/>
  <c r="AD181" i="2" s="1"/>
  <c r="Q181" i="2"/>
  <c r="R181" i="2" s="1"/>
  <c r="X181" i="2" s="1"/>
  <c r="H181" i="2"/>
  <c r="I181" i="2" s="1"/>
  <c r="L181" i="2" s="1"/>
  <c r="G181" i="2"/>
  <c r="D181" i="2"/>
  <c r="AK180" i="2"/>
  <c r="AN180" i="2" s="1"/>
  <c r="AI180" i="2"/>
  <c r="AH180" i="2"/>
  <c r="Z180" i="2"/>
  <c r="AD180" i="2" s="1"/>
  <c r="Q180" i="2"/>
  <c r="R180" i="2" s="1"/>
  <c r="X180" i="2" s="1"/>
  <c r="H180" i="2"/>
  <c r="I180" i="2" s="1"/>
  <c r="L180" i="2" s="1"/>
  <c r="G180" i="2"/>
  <c r="D180" i="2"/>
  <c r="AK179" i="2"/>
  <c r="AN179" i="2" s="1"/>
  <c r="AH179" i="2"/>
  <c r="AE179" i="2"/>
  <c r="Z179" i="2"/>
  <c r="AD179" i="2" s="1"/>
  <c r="Q179" i="2"/>
  <c r="R179" i="2" s="1"/>
  <c r="X179" i="2" s="1"/>
  <c r="L179" i="2"/>
  <c r="H179" i="2"/>
  <c r="G179" i="2"/>
  <c r="D179" i="2"/>
  <c r="AK178" i="2"/>
  <c r="AE178" i="2"/>
  <c r="AH178" i="2" s="1"/>
  <c r="Z178" i="2"/>
  <c r="AD178" i="2" s="1"/>
  <c r="Q178" i="2"/>
  <c r="R178" i="2" s="1"/>
  <c r="X178" i="2" s="1"/>
  <c r="L178" i="2"/>
  <c r="H178" i="2"/>
  <c r="G178" i="2"/>
  <c r="D178" i="2"/>
  <c r="AK177" i="2"/>
  <c r="AN177" i="2" s="1"/>
  <c r="AH177" i="2"/>
  <c r="Z177" i="2"/>
  <c r="AD177" i="2" s="1"/>
  <c r="Q177" i="2"/>
  <c r="R177" i="2" s="1"/>
  <c r="X177" i="2" s="1"/>
  <c r="H177" i="2"/>
  <c r="I177" i="2" s="1"/>
  <c r="L177" i="2" s="1"/>
  <c r="G177" i="2"/>
  <c r="D177" i="2"/>
  <c r="AL176" i="2"/>
  <c r="AH176" i="2"/>
  <c r="Z176" i="2"/>
  <c r="AD176" i="2" s="1"/>
  <c r="Q176" i="2"/>
  <c r="R176" i="2" s="1"/>
  <c r="X176" i="2" s="1"/>
  <c r="H176" i="2"/>
  <c r="I176" i="2" s="1"/>
  <c r="L176" i="2" s="1"/>
  <c r="N176" i="2" s="1"/>
  <c r="G176" i="2"/>
  <c r="D176" i="2"/>
  <c r="AL175" i="2"/>
  <c r="AH175" i="2"/>
  <c r="Q175" i="2"/>
  <c r="R175" i="2" s="1"/>
  <c r="X175" i="2" s="1"/>
  <c r="L175" i="2"/>
  <c r="H175" i="2"/>
  <c r="G175" i="2"/>
  <c r="D175" i="2"/>
  <c r="Z175" i="2" s="1"/>
  <c r="AD175" i="2" s="1"/>
  <c r="AL174" i="2"/>
  <c r="AE174" i="2"/>
  <c r="AH174" i="2" s="1"/>
  <c r="Z174" i="2"/>
  <c r="AD174" i="2" s="1"/>
  <c r="Q174" i="2"/>
  <c r="R174" i="2" s="1"/>
  <c r="X174" i="2" s="1"/>
  <c r="L174" i="2"/>
  <c r="H174" i="2"/>
  <c r="G174" i="2"/>
  <c r="D174" i="2"/>
  <c r="AK173" i="2"/>
  <c r="AN173" i="2" s="1"/>
  <c r="AH173" i="2"/>
  <c r="Z173" i="2"/>
  <c r="AD173" i="2" s="1"/>
  <c r="Q173" i="2"/>
  <c r="R173" i="2" s="1"/>
  <c r="X173" i="2" s="1"/>
  <c r="H173" i="2"/>
  <c r="I173" i="2" s="1"/>
  <c r="L173" i="2" s="1"/>
  <c r="G173" i="2"/>
  <c r="D173" i="2"/>
  <c r="AL172" i="2"/>
  <c r="AE172" i="2"/>
  <c r="AH172" i="2" s="1"/>
  <c r="Z172" i="2"/>
  <c r="AD172" i="2" s="1"/>
  <c r="Q172" i="2"/>
  <c r="R172" i="2" s="1"/>
  <c r="X172" i="2" s="1"/>
  <c r="H172" i="2"/>
  <c r="I172" i="2" s="1"/>
  <c r="L172" i="2" s="1"/>
  <c r="G172" i="2"/>
  <c r="D172" i="2"/>
  <c r="AK171" i="2"/>
  <c r="AN171" i="2" s="1"/>
  <c r="AE171" i="2"/>
  <c r="AH171" i="2" s="1"/>
  <c r="Z171" i="2"/>
  <c r="AD171" i="2" s="1"/>
  <c r="Q171" i="2"/>
  <c r="R171" i="2" s="1"/>
  <c r="X171" i="2" s="1"/>
  <c r="H171" i="2"/>
  <c r="I171" i="2" s="1"/>
  <c r="L171" i="2" s="1"/>
  <c r="C171" i="2"/>
  <c r="AK170" i="2"/>
  <c r="AN170" i="2" s="1"/>
  <c r="AI170" i="2"/>
  <c r="AE170" i="2"/>
  <c r="AH170" i="2" s="1"/>
  <c r="Z170" i="2"/>
  <c r="AD170" i="2" s="1"/>
  <c r="Q170" i="2"/>
  <c r="R170" i="2" s="1"/>
  <c r="X170" i="2" s="1"/>
  <c r="H170" i="2"/>
  <c r="I170" i="2" s="1"/>
  <c r="L170" i="2" s="1"/>
  <c r="G170" i="2"/>
  <c r="D170" i="2"/>
  <c r="AK169" i="2"/>
  <c r="AN169" i="2" s="1"/>
  <c r="AI169" i="2"/>
  <c r="AH169" i="2"/>
  <c r="AA169" i="2"/>
  <c r="Z169" i="2"/>
  <c r="Q169" i="2"/>
  <c r="R169" i="2" s="1"/>
  <c r="X169" i="2" s="1"/>
  <c r="H169" i="2"/>
  <c r="I169" i="2" s="1"/>
  <c r="L169" i="2" s="1"/>
  <c r="N169" i="2" s="1"/>
  <c r="G169" i="2"/>
  <c r="D169" i="2"/>
  <c r="AK168" i="2"/>
  <c r="AI168" i="2"/>
  <c r="AH168" i="2"/>
  <c r="Z168" i="2"/>
  <c r="AD168" i="2" s="1"/>
  <c r="Q168" i="2"/>
  <c r="R168" i="2" s="1"/>
  <c r="X168" i="2" s="1"/>
  <c r="H168" i="2"/>
  <c r="I168" i="2" s="1"/>
  <c r="L168" i="2" s="1"/>
  <c r="G168" i="2"/>
  <c r="D168" i="2"/>
  <c r="AL167" i="2"/>
  <c r="AI167" i="2"/>
  <c r="AH167" i="2"/>
  <c r="AD167" i="2"/>
  <c r="AL166" i="2"/>
  <c r="AI166" i="2"/>
  <c r="AH166" i="2"/>
  <c r="Z166" i="2"/>
  <c r="AD166" i="2" s="1"/>
  <c r="Q166" i="2"/>
  <c r="R166" i="2" s="1"/>
  <c r="X166" i="2" s="1"/>
  <c r="L166" i="2"/>
  <c r="O166" i="2" s="1"/>
  <c r="H166" i="2"/>
  <c r="G166" i="2"/>
  <c r="D166" i="2"/>
  <c r="AK165" i="2"/>
  <c r="AN165" i="2" s="1"/>
  <c r="AH165" i="2"/>
  <c r="Z165" i="2"/>
  <c r="AD165" i="2" s="1"/>
  <c r="X165" i="2"/>
  <c r="AL164" i="2"/>
  <c r="AH164" i="2"/>
  <c r="Z164" i="2"/>
  <c r="AD164" i="2" s="1"/>
  <c r="Q164" i="2"/>
  <c r="R164" i="2" s="1"/>
  <c r="X164" i="2" s="1"/>
  <c r="H164" i="2"/>
  <c r="I164" i="2" s="1"/>
  <c r="L164" i="2" s="1"/>
  <c r="G164" i="2"/>
  <c r="D164" i="2"/>
  <c r="AK163" i="2"/>
  <c r="AN163" i="2" s="1"/>
  <c r="AE163" i="2"/>
  <c r="AH163" i="2" s="1"/>
  <c r="Z163" i="2"/>
  <c r="AD163" i="2" s="1"/>
  <c r="Q163" i="2"/>
  <c r="R163" i="2" s="1"/>
  <c r="X163" i="2" s="1"/>
  <c r="H163" i="2"/>
  <c r="I163" i="2" s="1"/>
  <c r="C163" i="2"/>
  <c r="D163" i="2" s="1"/>
  <c r="AL162" i="2"/>
  <c r="AE162" i="2"/>
  <c r="AH162" i="2" s="1"/>
  <c r="Z162" i="2"/>
  <c r="AD162" i="2" s="1"/>
  <c r="Q162" i="2"/>
  <c r="R162" i="2" s="1"/>
  <c r="X162" i="2" s="1"/>
  <c r="H162" i="2"/>
  <c r="I162" i="2" s="1"/>
  <c r="L162" i="2" s="1"/>
  <c r="G162" i="2"/>
  <c r="D162" i="2"/>
  <c r="AL161" i="2"/>
  <c r="AE161" i="2"/>
  <c r="AH161" i="2" s="1"/>
  <c r="Z161" i="2"/>
  <c r="AD161" i="2" s="1"/>
  <c r="L161" i="2"/>
  <c r="O161" i="2" s="1"/>
  <c r="H161" i="2"/>
  <c r="G161" i="2"/>
  <c r="D161" i="2"/>
  <c r="P161" i="2" s="1"/>
  <c r="Q161" i="2" s="1"/>
  <c r="R161" i="2" s="1"/>
  <c r="X161" i="2" s="1"/>
  <c r="AL160" i="2"/>
  <c r="AE160" i="2"/>
  <c r="AH160" i="2" s="1"/>
  <c r="Z160" i="2"/>
  <c r="AD160" i="2" s="1"/>
  <c r="L160" i="2"/>
  <c r="H160" i="2"/>
  <c r="G160" i="2"/>
  <c r="D160" i="2"/>
  <c r="P160" i="2" s="1"/>
  <c r="P282" i="2" s="1"/>
  <c r="P283" i="2" s="1"/>
  <c r="AK159" i="2"/>
  <c r="AN159" i="2" s="1"/>
  <c r="AE159" i="2"/>
  <c r="AH159" i="2" s="1"/>
  <c r="Z159" i="2"/>
  <c r="AD159" i="2" s="1"/>
  <c r="Q159" i="2"/>
  <c r="R159" i="2" s="1"/>
  <c r="X159" i="2" s="1"/>
  <c r="L159" i="2"/>
  <c r="N159" i="2" s="1"/>
  <c r="H159" i="2"/>
  <c r="G159" i="2"/>
  <c r="D159" i="2"/>
  <c r="AK158" i="2"/>
  <c r="AI158" i="2"/>
  <c r="AH158" i="2"/>
  <c r="Z158" i="2"/>
  <c r="AD158" i="2" s="1"/>
  <c r="Q158" i="2"/>
  <c r="R158" i="2" s="1"/>
  <c r="X158" i="2" s="1"/>
  <c r="L158" i="2"/>
  <c r="O158" i="2" s="1"/>
  <c r="H158" i="2"/>
  <c r="G158" i="2"/>
  <c r="D158" i="2"/>
  <c r="AK157" i="2"/>
  <c r="AN157" i="2" s="1"/>
  <c r="AI157" i="2"/>
  <c r="AG157" i="2"/>
  <c r="AH157" i="2" s="1"/>
  <c r="Z157" i="2"/>
  <c r="AD157" i="2" s="1"/>
  <c r="Q157" i="2"/>
  <c r="R157" i="2" s="1"/>
  <c r="X157" i="2" s="1"/>
  <c r="L157" i="2"/>
  <c r="N157" i="2" s="1"/>
  <c r="H157" i="2"/>
  <c r="C157" i="2"/>
  <c r="D157" i="2" s="1"/>
  <c r="AK156" i="2"/>
  <c r="AG156" i="2"/>
  <c r="AH156" i="2" s="1"/>
  <c r="Z156" i="2"/>
  <c r="AD156" i="2" s="1"/>
  <c r="S156" i="2"/>
  <c r="Q156" i="2"/>
  <c r="R156" i="2" s="1"/>
  <c r="L156" i="2"/>
  <c r="N156" i="2" s="1"/>
  <c r="H156" i="2"/>
  <c r="G156" i="2"/>
  <c r="D156" i="2"/>
  <c r="AK155" i="2"/>
  <c r="AE155" i="2"/>
  <c r="AH155" i="2" s="1"/>
  <c r="Z155" i="2"/>
  <c r="AD155" i="2" s="1"/>
  <c r="Q155" i="2"/>
  <c r="R155" i="2" s="1"/>
  <c r="X155" i="2" s="1"/>
  <c r="L155" i="2"/>
  <c r="N155" i="2" s="1"/>
  <c r="H155" i="2"/>
  <c r="G155" i="2"/>
  <c r="D155" i="2"/>
  <c r="AK154" i="2"/>
  <c r="AN154" i="2" s="1"/>
  <c r="AI154" i="2"/>
  <c r="AH154" i="2"/>
  <c r="Z154" i="2"/>
  <c r="AD154" i="2" s="1"/>
  <c r="Q154" i="2"/>
  <c r="R154" i="2" s="1"/>
  <c r="X154" i="2" s="1"/>
  <c r="L154" i="2"/>
  <c r="O154" i="2" s="1"/>
  <c r="H154" i="2"/>
  <c r="C154" i="2"/>
  <c r="G154" i="2" s="1"/>
  <c r="AL153" i="2"/>
  <c r="AH153" i="2"/>
  <c r="Z153" i="2"/>
  <c r="AD153" i="2" s="1"/>
  <c r="Q153" i="2"/>
  <c r="R153" i="2" s="1"/>
  <c r="X153" i="2" s="1"/>
  <c r="L153" i="2"/>
  <c r="H153" i="2"/>
  <c r="G153" i="2"/>
  <c r="D153" i="2"/>
  <c r="AK152" i="2"/>
  <c r="AI152" i="2"/>
  <c r="AF152" i="2"/>
  <c r="AE152" i="2"/>
  <c r="Z152" i="2"/>
  <c r="AD152" i="2" s="1"/>
  <c r="Q152" i="2"/>
  <c r="R152" i="2" s="1"/>
  <c r="X152" i="2" s="1"/>
  <c r="L152" i="2"/>
  <c r="N152" i="2" s="1"/>
  <c r="H152" i="2"/>
  <c r="C152" i="2"/>
  <c r="AL151" i="2"/>
  <c r="AH151" i="2"/>
  <c r="Z151" i="2"/>
  <c r="AD151" i="2" s="1"/>
  <c r="Q151" i="2"/>
  <c r="R151" i="2" s="1"/>
  <c r="X151" i="2" s="1"/>
  <c r="L151" i="2"/>
  <c r="H151" i="2"/>
  <c r="G151" i="2"/>
  <c r="D151" i="2"/>
  <c r="AK150" i="2"/>
  <c r="AN150" i="2" s="1"/>
  <c r="AE150" i="2"/>
  <c r="AH150" i="2" s="1"/>
  <c r="Z150" i="2"/>
  <c r="AD150" i="2" s="1"/>
  <c r="Q150" i="2"/>
  <c r="R150" i="2" s="1"/>
  <c r="X150" i="2" s="1"/>
  <c r="L150" i="2"/>
  <c r="H150" i="2"/>
  <c r="C150" i="2"/>
  <c r="G150" i="2" s="1"/>
  <c r="AK149" i="2"/>
  <c r="AN149" i="2" s="1"/>
  <c r="AE149" i="2"/>
  <c r="AH149" i="2" s="1"/>
  <c r="Z149" i="2"/>
  <c r="AD149" i="2" s="1"/>
  <c r="Q149" i="2"/>
  <c r="R149" i="2" s="1"/>
  <c r="X149" i="2" s="1"/>
  <c r="L149" i="2"/>
  <c r="O149" i="2" s="1"/>
  <c r="H149" i="2"/>
  <c r="G149" i="2"/>
  <c r="D149" i="2"/>
  <c r="AL148" i="2"/>
  <c r="AI148" i="2"/>
  <c r="AH148" i="2"/>
  <c r="Z148" i="2"/>
  <c r="AD148" i="2" s="1"/>
  <c r="Q148" i="2"/>
  <c r="R148" i="2" s="1"/>
  <c r="X148" i="2" s="1"/>
  <c r="L148" i="2"/>
  <c r="H148" i="2"/>
  <c r="G148" i="2"/>
  <c r="D148" i="2"/>
  <c r="AL147" i="2"/>
  <c r="AE147" i="2"/>
  <c r="AH147" i="2" s="1"/>
  <c r="Z147" i="2"/>
  <c r="AD147" i="2" s="1"/>
  <c r="Q147" i="2"/>
  <c r="R147" i="2" s="1"/>
  <c r="X147" i="2" s="1"/>
  <c r="L147" i="2"/>
  <c r="O147" i="2" s="1"/>
  <c r="H147" i="2"/>
  <c r="G147" i="2"/>
  <c r="D147" i="2"/>
  <c r="AL146" i="2"/>
  <c r="AH146" i="2"/>
  <c r="Z146" i="2"/>
  <c r="AD146" i="2" s="1"/>
  <c r="Q146" i="2"/>
  <c r="R146" i="2" s="1"/>
  <c r="X146" i="2" s="1"/>
  <c r="L146" i="2"/>
  <c r="H146" i="2"/>
  <c r="G146" i="2"/>
  <c r="D146" i="2"/>
  <c r="AK145" i="2"/>
  <c r="AN145" i="2" s="1"/>
  <c r="AH145" i="2"/>
  <c r="Z145" i="2"/>
  <c r="AD145" i="2" s="1"/>
  <c r="Q145" i="2"/>
  <c r="R145" i="2" s="1"/>
  <c r="X145" i="2" s="1"/>
  <c r="L145" i="2"/>
  <c r="H145" i="2"/>
  <c r="C145" i="2"/>
  <c r="D145" i="2" s="1"/>
  <c r="AK144" i="2"/>
  <c r="AE144" i="2"/>
  <c r="AH144" i="2" s="1"/>
  <c r="Z144" i="2"/>
  <c r="AD144" i="2" s="1"/>
  <c r="Q144" i="2"/>
  <c r="R144" i="2" s="1"/>
  <c r="X144" i="2" s="1"/>
  <c r="L144" i="2"/>
  <c r="N144" i="2" s="1"/>
  <c r="H144" i="2"/>
  <c r="G144" i="2"/>
  <c r="D144" i="2"/>
  <c r="AK143" i="2"/>
  <c r="AE143" i="2"/>
  <c r="AH143" i="2" s="1"/>
  <c r="Z143" i="2"/>
  <c r="AD143" i="2" s="1"/>
  <c r="Q143" i="2"/>
  <c r="R143" i="2" s="1"/>
  <c r="X143" i="2" s="1"/>
  <c r="L143" i="2"/>
  <c r="O143" i="2" s="1"/>
  <c r="H143" i="2"/>
  <c r="G143" i="2"/>
  <c r="D143" i="2"/>
  <c r="AL142" i="2"/>
  <c r="AH142" i="2"/>
  <c r="Z142" i="2"/>
  <c r="AD142" i="2" s="1"/>
  <c r="S142" i="2"/>
  <c r="Q142" i="2"/>
  <c r="R142" i="2" s="1"/>
  <c r="L142" i="2"/>
  <c r="N142" i="2" s="1"/>
  <c r="H142" i="2"/>
  <c r="G142" i="2"/>
  <c r="D142" i="2"/>
  <c r="AL141" i="2"/>
  <c r="AF141" i="2"/>
  <c r="AH141" i="2" s="1"/>
  <c r="Z141" i="2"/>
  <c r="AD141" i="2" s="1"/>
  <c r="Q141" i="2"/>
  <c r="R141" i="2" s="1"/>
  <c r="X141" i="2" s="1"/>
  <c r="L141" i="2"/>
  <c r="O141" i="2" s="1"/>
  <c r="H141" i="2"/>
  <c r="G141" i="2"/>
  <c r="D141" i="2"/>
  <c r="AL140" i="2"/>
  <c r="AH140" i="2"/>
  <c r="Z140" i="2"/>
  <c r="AD140" i="2" s="1"/>
  <c r="Q140" i="2"/>
  <c r="R140" i="2" s="1"/>
  <c r="X140" i="2" s="1"/>
  <c r="L140" i="2"/>
  <c r="O140" i="2" s="1"/>
  <c r="H140" i="2"/>
  <c r="G140" i="2"/>
  <c r="D140" i="2"/>
  <c r="AK139" i="2"/>
  <c r="AH139" i="2"/>
  <c r="Z139" i="2"/>
  <c r="AD139" i="2" s="1"/>
  <c r="Q139" i="2"/>
  <c r="R139" i="2" s="1"/>
  <c r="X139" i="2" s="1"/>
  <c r="L139" i="2"/>
  <c r="H139" i="2"/>
  <c r="G139" i="2"/>
  <c r="D139" i="2"/>
  <c r="AL138" i="2"/>
  <c r="AH138" i="2"/>
  <c r="Z138" i="2"/>
  <c r="AD138" i="2" s="1"/>
  <c r="Q138" i="2"/>
  <c r="R138" i="2" s="1"/>
  <c r="X138" i="2" s="1"/>
  <c r="L138" i="2"/>
  <c r="O138" i="2" s="1"/>
  <c r="H138" i="2"/>
  <c r="G138" i="2"/>
  <c r="D138" i="2"/>
  <c r="AK137" i="2"/>
  <c r="AN137" i="2" s="1"/>
  <c r="AE137" i="2"/>
  <c r="AH137" i="2" s="1"/>
  <c r="Z137" i="2"/>
  <c r="AD137" i="2" s="1"/>
  <c r="Q137" i="2"/>
  <c r="R137" i="2" s="1"/>
  <c r="X137" i="2" s="1"/>
  <c r="L137" i="2"/>
  <c r="O137" i="2" s="1"/>
  <c r="H137" i="2"/>
  <c r="G137" i="2"/>
  <c r="D137" i="2"/>
  <c r="AK136" i="2"/>
  <c r="AH136" i="2"/>
  <c r="Z136" i="2"/>
  <c r="AD136" i="2" s="1"/>
  <c r="Q136" i="2"/>
  <c r="R136" i="2" s="1"/>
  <c r="X136" i="2" s="1"/>
  <c r="L136" i="2"/>
  <c r="O136" i="2" s="1"/>
  <c r="H136" i="2"/>
  <c r="G136" i="2"/>
  <c r="D136" i="2"/>
  <c r="AK135" i="2"/>
  <c r="AI135" i="2"/>
  <c r="AH135" i="2"/>
  <c r="Z135" i="2"/>
  <c r="AD135" i="2" s="1"/>
  <c r="Q135" i="2"/>
  <c r="R135" i="2" s="1"/>
  <c r="X135" i="2" s="1"/>
  <c r="L135" i="2"/>
  <c r="N135" i="2" s="1"/>
  <c r="H135" i="2"/>
  <c r="G135" i="2"/>
  <c r="D135" i="2"/>
  <c r="AK134" i="2"/>
  <c r="AN134" i="2" s="1"/>
  <c r="AI134" i="2"/>
  <c r="AH134" i="2"/>
  <c r="Z134" i="2"/>
  <c r="AD134" i="2" s="1"/>
  <c r="Q134" i="2"/>
  <c r="R134" i="2" s="1"/>
  <c r="X134" i="2" s="1"/>
  <c r="L134" i="2"/>
  <c r="O134" i="2" s="1"/>
  <c r="H134" i="2"/>
  <c r="G134" i="2"/>
  <c r="D134" i="2"/>
  <c r="AL133" i="2"/>
  <c r="AH133" i="2"/>
  <c r="AA133" i="2"/>
  <c r="Z133" i="2"/>
  <c r="U133" i="2"/>
  <c r="X133" i="2" s="1"/>
  <c r="AL132" i="2"/>
  <c r="AL131" i="2"/>
  <c r="AH131" i="2"/>
  <c r="AD131" i="2"/>
  <c r="Q131" i="2"/>
  <c r="R131" i="2" s="1"/>
  <c r="X131" i="2" s="1"/>
  <c r="L131" i="2"/>
  <c r="N131" i="2" s="1"/>
  <c r="H131" i="2"/>
  <c r="G131" i="2"/>
  <c r="D131" i="2"/>
  <c r="AL130" i="2"/>
  <c r="AH130" i="2"/>
  <c r="Q130" i="2"/>
  <c r="R130" i="2" s="1"/>
  <c r="X130" i="2" s="1"/>
  <c r="H130" i="2"/>
  <c r="I130" i="2" s="1"/>
  <c r="L130" i="2" s="1"/>
  <c r="G130" i="2"/>
  <c r="D130" i="2"/>
  <c r="Z130" i="2" s="1"/>
  <c r="AD130" i="2" s="1"/>
  <c r="AL129" i="2"/>
  <c r="AI129" i="2"/>
  <c r="AG129" i="2"/>
  <c r="AF129" i="2"/>
  <c r="AE129" i="2"/>
  <c r="AA129" i="2"/>
  <c r="AD129" i="2" s="1"/>
  <c r="Q129" i="2"/>
  <c r="R129" i="2" s="1"/>
  <c r="X129" i="2" s="1"/>
  <c r="L129" i="2"/>
  <c r="N129" i="2" s="1"/>
  <c r="H129" i="2"/>
  <c r="G129" i="2"/>
  <c r="D129" i="2"/>
  <c r="AL128" i="2"/>
  <c r="AH128" i="2"/>
  <c r="Z128" i="2"/>
  <c r="AD128" i="2" s="1"/>
  <c r="Q128" i="2"/>
  <c r="R128" i="2" s="1"/>
  <c r="X128" i="2" s="1"/>
  <c r="L128" i="2"/>
  <c r="N128" i="2" s="1"/>
  <c r="AL127" i="2"/>
  <c r="AH127" i="2"/>
  <c r="Z127" i="2"/>
  <c r="AD127" i="2" s="1"/>
  <c r="Q127" i="2"/>
  <c r="R127" i="2" s="1"/>
  <c r="X127" i="2" s="1"/>
  <c r="L127" i="2"/>
  <c r="AL126" i="2"/>
  <c r="AI126" i="2"/>
  <c r="AH126" i="2"/>
  <c r="Z126" i="2"/>
  <c r="AD126" i="2" s="1"/>
  <c r="Q126" i="2"/>
  <c r="R126" i="2" s="1"/>
  <c r="X126" i="2" s="1"/>
  <c r="L126" i="2"/>
  <c r="N126" i="2" s="1"/>
  <c r="H126" i="2"/>
  <c r="AL125" i="2"/>
  <c r="AI125" i="2"/>
  <c r="AH125" i="2"/>
  <c r="Q125" i="2"/>
  <c r="R125" i="2" s="1"/>
  <c r="X125" i="2" s="1"/>
  <c r="L125" i="2"/>
  <c r="N125" i="2" s="1"/>
  <c r="H125" i="2"/>
  <c r="G125" i="2"/>
  <c r="D125" i="2"/>
  <c r="Z125" i="2" s="1"/>
  <c r="AD125" i="2" s="1"/>
  <c r="AL124" i="2"/>
  <c r="AH124" i="2"/>
  <c r="Z124" i="2"/>
  <c r="AD124" i="2" s="1"/>
  <c r="Q124" i="2"/>
  <c r="R124" i="2" s="1"/>
  <c r="X124" i="2" s="1"/>
  <c r="L124" i="2"/>
  <c r="N124" i="2" s="1"/>
  <c r="G124" i="2"/>
  <c r="D124" i="2"/>
  <c r="AK123" i="2"/>
  <c r="AI123" i="2"/>
  <c r="AH123" i="2"/>
  <c r="Q123" i="2"/>
  <c r="R123" i="2" s="1"/>
  <c r="X123" i="2" s="1"/>
  <c r="L123" i="2"/>
  <c r="N123" i="2" s="1"/>
  <c r="H123" i="2"/>
  <c r="G123" i="2"/>
  <c r="D123" i="2"/>
  <c r="Z123" i="2" s="1"/>
  <c r="AD123" i="2" s="1"/>
  <c r="AL122" i="2"/>
  <c r="AH122" i="2"/>
  <c r="Z122" i="2"/>
  <c r="AD122" i="2" s="1"/>
  <c r="Q122" i="2"/>
  <c r="R122" i="2" s="1"/>
  <c r="X122" i="2" s="1"/>
  <c r="L122" i="2"/>
  <c r="N122" i="2" s="1"/>
  <c r="H122" i="2"/>
  <c r="G122" i="2"/>
  <c r="D122" i="2"/>
  <c r="AL121" i="2"/>
  <c r="AH121" i="2"/>
  <c r="Q121" i="2"/>
  <c r="R121" i="2" s="1"/>
  <c r="L121" i="2"/>
  <c r="N121" i="2" s="1"/>
  <c r="H121" i="2"/>
  <c r="G121" i="2"/>
  <c r="D121" i="2"/>
  <c r="Z121" i="2" s="1"/>
  <c r="AD121" i="2" s="1"/>
  <c r="AL120" i="2"/>
  <c r="AI120" i="2"/>
  <c r="AH120" i="2"/>
  <c r="Q120" i="2"/>
  <c r="R120" i="2" s="1"/>
  <c r="X120" i="2" s="1"/>
  <c r="L120" i="2"/>
  <c r="N120" i="2" s="1"/>
  <c r="H120" i="2"/>
  <c r="G120" i="2"/>
  <c r="D120" i="2"/>
  <c r="Z120" i="2" s="1"/>
  <c r="AD120" i="2" s="1"/>
  <c r="AL119" i="2"/>
  <c r="AH119" i="2"/>
  <c r="AD119" i="2"/>
  <c r="Q119" i="2"/>
  <c r="R119" i="2" s="1"/>
  <c r="X119" i="2" s="1"/>
  <c r="L119" i="2"/>
  <c r="O119" i="2" s="1"/>
  <c r="H119" i="2"/>
  <c r="G119" i="2"/>
  <c r="D119" i="2"/>
  <c r="AL118" i="2"/>
  <c r="AH118" i="2"/>
  <c r="AD118" i="2"/>
  <c r="Q118" i="2"/>
  <c r="R118" i="2" s="1"/>
  <c r="X118" i="2" s="1"/>
  <c r="L118" i="2"/>
  <c r="O118" i="2" s="1"/>
  <c r="H118" i="2"/>
  <c r="G118" i="2"/>
  <c r="D118" i="2"/>
  <c r="AL117" i="2"/>
  <c r="AH117" i="2"/>
  <c r="AD117" i="2"/>
  <c r="Q117" i="2"/>
  <c r="R117" i="2" s="1"/>
  <c r="X117" i="2" s="1"/>
  <c r="L117" i="2"/>
  <c r="O117" i="2" s="1"/>
  <c r="H117" i="2"/>
  <c r="G117" i="2"/>
  <c r="D117" i="2"/>
  <c r="AL116" i="2"/>
  <c r="AH116" i="2"/>
  <c r="AD116" i="2"/>
  <c r="Q116" i="2"/>
  <c r="R116" i="2" s="1"/>
  <c r="X116" i="2" s="1"/>
  <c r="L116" i="2"/>
  <c r="H116" i="2"/>
  <c r="G116" i="2"/>
  <c r="D116" i="2"/>
  <c r="D115" i="2" s="1"/>
  <c r="AL115" i="2"/>
  <c r="AE115" i="2"/>
  <c r="AH115" i="2" s="1"/>
  <c r="Z115" i="2"/>
  <c r="AD115" i="2" s="1"/>
  <c r="X115" i="2"/>
  <c r="F115" i="2"/>
  <c r="F282" i="2" s="1"/>
  <c r="E115" i="2"/>
  <c r="E282" i="2" s="1"/>
  <c r="C115" i="2"/>
  <c r="AK114" i="2"/>
  <c r="AH114" i="2"/>
  <c r="Q114" i="2"/>
  <c r="R114" i="2" s="1"/>
  <c r="X114" i="2" s="1"/>
  <c r="L114" i="2"/>
  <c r="O114" i="2" s="1"/>
  <c r="H114" i="2"/>
  <c r="G114" i="2"/>
  <c r="D114" i="2"/>
  <c r="Z114" i="2" s="1"/>
  <c r="AD114" i="2" s="1"/>
  <c r="AL113" i="2"/>
  <c r="AH113" i="2"/>
  <c r="Q113" i="2"/>
  <c r="R113" i="2" s="1"/>
  <c r="X113" i="2" s="1"/>
  <c r="L113" i="2"/>
  <c r="N113" i="2" s="1"/>
  <c r="H113" i="2"/>
  <c r="G113" i="2"/>
  <c r="D113" i="2"/>
  <c r="Z113" i="2" s="1"/>
  <c r="AD113" i="2" s="1"/>
  <c r="AL112" i="2"/>
  <c r="AI112" i="2"/>
  <c r="AE112" i="2"/>
  <c r="AH112" i="2" s="1"/>
  <c r="AC112" i="2"/>
  <c r="AC282" i="2" s="1"/>
  <c r="T112" i="2"/>
  <c r="Q112" i="2"/>
  <c r="R112" i="2" s="1"/>
  <c r="S112" i="2" s="1"/>
  <c r="L112" i="2"/>
  <c r="O112" i="2" s="1"/>
  <c r="H112" i="2"/>
  <c r="G112" i="2"/>
  <c r="D112" i="2"/>
  <c r="AK111" i="2"/>
  <c r="AH111" i="2"/>
  <c r="AD111" i="2"/>
  <c r="Q111" i="2"/>
  <c r="R111" i="2" s="1"/>
  <c r="S111" i="2" s="1"/>
  <c r="L111" i="2"/>
  <c r="O111" i="2" s="1"/>
  <c r="H111" i="2"/>
  <c r="G111" i="2"/>
  <c r="D111" i="2"/>
  <c r="AL110" i="2"/>
  <c r="AI110" i="2"/>
  <c r="AH110" i="2"/>
  <c r="Z110" i="2"/>
  <c r="AD110" i="2" s="1"/>
  <c r="Q110" i="2"/>
  <c r="R110" i="2" s="1"/>
  <c r="X110" i="2" s="1"/>
  <c r="I110" i="2"/>
  <c r="L110" i="2" s="1"/>
  <c r="N110" i="2" s="1"/>
  <c r="G110" i="2"/>
  <c r="D110" i="2"/>
  <c r="AL109" i="2"/>
  <c r="AE109" i="2"/>
  <c r="AH109" i="2" s="1"/>
  <c r="Z109" i="2"/>
  <c r="AD109" i="2" s="1"/>
  <c r="Q109" i="2"/>
  <c r="R109" i="2" s="1"/>
  <c r="X109" i="2" s="1"/>
  <c r="L109" i="2"/>
  <c r="O109" i="2" s="1"/>
  <c r="H109" i="2"/>
  <c r="G109" i="2"/>
  <c r="D109" i="2"/>
  <c r="AL108" i="2"/>
  <c r="AF108" i="2"/>
  <c r="AE108" i="2"/>
  <c r="Z108" i="2"/>
  <c r="AD108" i="2" s="1"/>
  <c r="Q108" i="2"/>
  <c r="R108" i="2" s="1"/>
  <c r="X108" i="2" s="1"/>
  <c r="L108" i="2"/>
  <c r="O108" i="2" s="1"/>
  <c r="H108" i="2"/>
  <c r="G108" i="2"/>
  <c r="D108" i="2"/>
  <c r="AL107" i="2"/>
  <c r="AH107" i="2"/>
  <c r="Z107" i="2"/>
  <c r="AD107" i="2" s="1"/>
  <c r="Q107" i="2"/>
  <c r="R107" i="2" s="1"/>
  <c r="X107" i="2" s="1"/>
  <c r="L107" i="2"/>
  <c r="N107" i="2" s="1"/>
  <c r="H107" i="2"/>
  <c r="G107" i="2"/>
  <c r="D107" i="2"/>
  <c r="AL106" i="2"/>
  <c r="AI106" i="2"/>
  <c r="AH106" i="2"/>
  <c r="Z106" i="2"/>
  <c r="AD106" i="2" s="1"/>
  <c r="Q106" i="2"/>
  <c r="R106" i="2" s="1"/>
  <c r="X106" i="2" s="1"/>
  <c r="L106" i="2"/>
  <c r="H106" i="2"/>
  <c r="G106" i="2"/>
  <c r="D106" i="2"/>
  <c r="AK105" i="2"/>
  <c r="AN105" i="2" s="1"/>
  <c r="AI105" i="2"/>
  <c r="AH105" i="2"/>
  <c r="Z105" i="2"/>
  <c r="AD105" i="2" s="1"/>
  <c r="Q105" i="2"/>
  <c r="R105" i="2" s="1"/>
  <c r="X105" i="2" s="1"/>
  <c r="L105" i="2"/>
  <c r="O105" i="2" s="1"/>
  <c r="H105" i="2"/>
  <c r="G105" i="2"/>
  <c r="D105" i="2"/>
  <c r="AK104" i="2"/>
  <c r="AI104" i="2"/>
  <c r="AH104" i="2"/>
  <c r="Q104" i="2"/>
  <c r="R104" i="2" s="1"/>
  <c r="X104" i="2" s="1"/>
  <c r="L104" i="2"/>
  <c r="N104" i="2" s="1"/>
  <c r="H104" i="2"/>
  <c r="G104" i="2"/>
  <c r="D104" i="2"/>
  <c r="Z104" i="2" s="1"/>
  <c r="AD104" i="2" s="1"/>
  <c r="AK103" i="2"/>
  <c r="AN103" i="2" s="1"/>
  <c r="AI103" i="2"/>
  <c r="AH103" i="2"/>
  <c r="Q103" i="2"/>
  <c r="R103" i="2" s="1"/>
  <c r="X103" i="2" s="1"/>
  <c r="L103" i="2"/>
  <c r="N103" i="2" s="1"/>
  <c r="H103" i="2"/>
  <c r="G103" i="2"/>
  <c r="D103" i="2"/>
  <c r="Z103" i="2" s="1"/>
  <c r="AD103" i="2" s="1"/>
  <c r="AL102" i="2"/>
  <c r="AH102" i="2"/>
  <c r="AD102" i="2"/>
  <c r="X102" i="2"/>
  <c r="AL101" i="2"/>
  <c r="AH101" i="2"/>
  <c r="Z101" i="2"/>
  <c r="AD101" i="2" s="1"/>
  <c r="X101" i="2"/>
  <c r="AL100" i="2"/>
  <c r="AH100" i="2"/>
  <c r="Z100" i="2"/>
  <c r="AD100" i="2" s="1"/>
  <c r="Q100" i="2"/>
  <c r="R100" i="2" s="1"/>
  <c r="X100" i="2" s="1"/>
  <c r="L100" i="2"/>
  <c r="O100" i="2" s="1"/>
  <c r="H100" i="2"/>
  <c r="G100" i="2"/>
  <c r="D100" i="2"/>
  <c r="AK99" i="2"/>
  <c r="AE99" i="2"/>
  <c r="AH99" i="2" s="1"/>
  <c r="Z99" i="2"/>
  <c r="AD99" i="2" s="1"/>
  <c r="Q99" i="2"/>
  <c r="R99" i="2" s="1"/>
  <c r="X99" i="2" s="1"/>
  <c r="L99" i="2"/>
  <c r="N99" i="2" s="1"/>
  <c r="H99" i="2"/>
  <c r="G99" i="2"/>
  <c r="D99" i="2"/>
  <c r="AK98" i="2"/>
  <c r="AN98" i="2" s="1"/>
  <c r="AH98" i="2"/>
  <c r="Q98" i="2"/>
  <c r="R98" i="2" s="1"/>
  <c r="L98" i="2"/>
  <c r="N98" i="2" s="1"/>
  <c r="H98" i="2"/>
  <c r="G98" i="2"/>
  <c r="D98" i="2"/>
  <c r="Z98" i="2" s="1"/>
  <c r="AD98" i="2" s="1"/>
  <c r="AL97" i="2"/>
  <c r="AH97" i="2"/>
  <c r="Z97" i="2"/>
  <c r="AD97" i="2" s="1"/>
  <c r="Q97" i="2"/>
  <c r="R97" i="2" s="1"/>
  <c r="X97" i="2" s="1"/>
  <c r="L97" i="2"/>
  <c r="O97" i="2" s="1"/>
  <c r="H97" i="2"/>
  <c r="G97" i="2"/>
  <c r="D97" i="2"/>
  <c r="AK96" i="2"/>
  <c r="AH96" i="2"/>
  <c r="Z96" i="2"/>
  <c r="AD96" i="2" s="1"/>
  <c r="Q96" i="2"/>
  <c r="R96" i="2" s="1"/>
  <c r="X96" i="2" s="1"/>
  <c r="L96" i="2"/>
  <c r="O96" i="2" s="1"/>
  <c r="H96" i="2"/>
  <c r="G96" i="2"/>
  <c r="D96" i="2"/>
  <c r="AK95" i="2"/>
  <c r="AE95" i="2"/>
  <c r="AH95" i="2" s="1"/>
  <c r="Z95" i="2"/>
  <c r="AD95" i="2" s="1"/>
  <c r="Q95" i="2"/>
  <c r="R95" i="2" s="1"/>
  <c r="X95" i="2" s="1"/>
  <c r="H95" i="2"/>
  <c r="I95" i="2" s="1"/>
  <c r="L95" i="2" s="1"/>
  <c r="G95" i="2"/>
  <c r="D95" i="2"/>
  <c r="AL94" i="2"/>
  <c r="AE94" i="2"/>
  <c r="AH94" i="2" s="1"/>
  <c r="Z94" i="2"/>
  <c r="AD94" i="2" s="1"/>
  <c r="Q94" i="2"/>
  <c r="R94" i="2" s="1"/>
  <c r="X94" i="2" s="1"/>
  <c r="L94" i="2"/>
  <c r="O94" i="2" s="1"/>
  <c r="H94" i="2"/>
  <c r="G94" i="2"/>
  <c r="D94" i="2"/>
  <c r="AL93" i="2"/>
  <c r="AE93" i="2"/>
  <c r="AH93" i="2" s="1"/>
  <c r="Z93" i="2"/>
  <c r="AD93" i="2" s="1"/>
  <c r="Q93" i="2"/>
  <c r="R93" i="2" s="1"/>
  <c r="X93" i="2" s="1"/>
  <c r="L93" i="2"/>
  <c r="N93" i="2" s="1"/>
  <c r="H93" i="2"/>
  <c r="G93" i="2"/>
  <c r="D93" i="2"/>
  <c r="AK92" i="2"/>
  <c r="AH92" i="2"/>
  <c r="Z92" i="2"/>
  <c r="AD92" i="2" s="1"/>
  <c r="Q92" i="2"/>
  <c r="R92" i="2" s="1"/>
  <c r="X92" i="2" s="1"/>
  <c r="L92" i="2"/>
  <c r="O92" i="2" s="1"/>
  <c r="H92" i="2"/>
  <c r="G92" i="2"/>
  <c r="D92" i="2"/>
  <c r="AL91" i="2"/>
  <c r="AI91" i="2"/>
  <c r="AH91" i="2"/>
  <c r="Z91" i="2"/>
  <c r="AD91" i="2" s="1"/>
  <c r="Q91" i="2"/>
  <c r="R91" i="2" s="1"/>
  <c r="X91" i="2" s="1"/>
  <c r="L91" i="2"/>
  <c r="O91" i="2" s="1"/>
  <c r="H91" i="2"/>
  <c r="G91" i="2"/>
  <c r="D91" i="2"/>
  <c r="AL90" i="2"/>
  <c r="AE90" i="2"/>
  <c r="AH90" i="2" s="1"/>
  <c r="Z90" i="2"/>
  <c r="AD90" i="2" s="1"/>
  <c r="Q90" i="2"/>
  <c r="R90" i="2" s="1"/>
  <c r="X90" i="2" s="1"/>
  <c r="L90" i="2"/>
  <c r="O90" i="2" s="1"/>
  <c r="H90" i="2"/>
  <c r="G90" i="2"/>
  <c r="D90" i="2"/>
  <c r="AK89" i="2"/>
  <c r="AE89" i="2"/>
  <c r="AH89" i="2" s="1"/>
  <c r="Z89" i="2"/>
  <c r="AD89" i="2" s="1"/>
  <c r="Q89" i="2"/>
  <c r="R89" i="2" s="1"/>
  <c r="X89" i="2" s="1"/>
  <c r="L89" i="2"/>
  <c r="N89" i="2" s="1"/>
  <c r="H89" i="2"/>
  <c r="G89" i="2"/>
  <c r="D89" i="2"/>
  <c r="AK88" i="2"/>
  <c r="AN88" i="2" s="1"/>
  <c r="AE88" i="2"/>
  <c r="AH88" i="2" s="1"/>
  <c r="Z88" i="2"/>
  <c r="AD88" i="2" s="1"/>
  <c r="Q88" i="2"/>
  <c r="R88" i="2" s="1"/>
  <c r="X88" i="2" s="1"/>
  <c r="L88" i="2"/>
  <c r="N88" i="2" s="1"/>
  <c r="H88" i="2"/>
  <c r="G88" i="2"/>
  <c r="D88" i="2"/>
  <c r="AK87" i="2"/>
  <c r="AH87" i="2"/>
  <c r="Z87" i="2"/>
  <c r="AD87" i="2" s="1"/>
  <c r="Q87" i="2"/>
  <c r="R87" i="2" s="1"/>
  <c r="X87" i="2" s="1"/>
  <c r="L87" i="2"/>
  <c r="O87" i="2" s="1"/>
  <c r="H87" i="2"/>
  <c r="G87" i="2"/>
  <c r="D87" i="2"/>
  <c r="AK86" i="2"/>
  <c r="AE86" i="2"/>
  <c r="AH86" i="2" s="1"/>
  <c r="Z86" i="2"/>
  <c r="AD86" i="2" s="1"/>
  <c r="Q86" i="2"/>
  <c r="R86" i="2" s="1"/>
  <c r="X86" i="2" s="1"/>
  <c r="H86" i="2"/>
  <c r="I86" i="2" s="1"/>
  <c r="L86" i="2" s="1"/>
  <c r="N86" i="2" s="1"/>
  <c r="C86" i="2"/>
  <c r="G86" i="2" s="1"/>
  <c r="AK85" i="2"/>
  <c r="AN85" i="2" s="1"/>
  <c r="AE85" i="2"/>
  <c r="AH85" i="2" s="1"/>
  <c r="Z85" i="2"/>
  <c r="AD85" i="2" s="1"/>
  <c r="Q85" i="2"/>
  <c r="R85" i="2" s="1"/>
  <c r="X85" i="2" s="1"/>
  <c r="L85" i="2"/>
  <c r="O85" i="2" s="1"/>
  <c r="H85" i="2"/>
  <c r="C85" i="2"/>
  <c r="G85" i="2" s="1"/>
  <c r="AK84" i="2"/>
  <c r="AN84" i="2" s="1"/>
  <c r="AH84" i="2"/>
  <c r="Z84" i="2"/>
  <c r="AD84" i="2" s="1"/>
  <c r="Q84" i="2"/>
  <c r="R84" i="2" s="1"/>
  <c r="X84" i="2" s="1"/>
  <c r="H84" i="2"/>
  <c r="I84" i="2" s="1"/>
  <c r="L84" i="2" s="1"/>
  <c r="N84" i="2" s="1"/>
  <c r="G84" i="2"/>
  <c r="D84" i="2"/>
  <c r="AK83" i="2"/>
  <c r="AH83" i="2"/>
  <c r="Z83" i="2"/>
  <c r="AD83" i="2" s="1"/>
  <c r="Q83" i="2"/>
  <c r="R83" i="2" s="1"/>
  <c r="X83" i="2" s="1"/>
  <c r="H83" i="2"/>
  <c r="I83" i="2" s="1"/>
  <c r="L83" i="2" s="1"/>
  <c r="O83" i="2" s="1"/>
  <c r="C83" i="2"/>
  <c r="D83" i="2" s="1"/>
  <c r="AK82" i="2"/>
  <c r="AI82" i="2"/>
  <c r="AH82" i="2"/>
  <c r="Z82" i="2"/>
  <c r="AD82" i="2" s="1"/>
  <c r="Q82" i="2"/>
  <c r="R82" i="2" s="1"/>
  <c r="X82" i="2" s="1"/>
  <c r="L82" i="2"/>
  <c r="N82" i="2" s="1"/>
  <c r="H82" i="2"/>
  <c r="G82" i="2"/>
  <c r="D82" i="2"/>
  <c r="AK81" i="2"/>
  <c r="AN81" i="2" s="1"/>
  <c r="AE81" i="2"/>
  <c r="AH81" i="2" s="1"/>
  <c r="Z81" i="2"/>
  <c r="AD81" i="2" s="1"/>
  <c r="Q81" i="2"/>
  <c r="R81" i="2" s="1"/>
  <c r="X81" i="2" s="1"/>
  <c r="L81" i="2"/>
  <c r="N81" i="2" s="1"/>
  <c r="H81" i="2"/>
  <c r="G81" i="2"/>
  <c r="D81" i="2"/>
  <c r="AK80" i="2"/>
  <c r="AI80" i="2"/>
  <c r="AE80" i="2"/>
  <c r="AH80" i="2" s="1"/>
  <c r="Z80" i="2"/>
  <c r="AD80" i="2" s="1"/>
  <c r="Q80" i="2"/>
  <c r="R80" i="2" s="1"/>
  <c r="X80" i="2" s="1"/>
  <c r="H80" i="2"/>
  <c r="I80" i="2" s="1"/>
  <c r="G80" i="2"/>
  <c r="D80" i="2"/>
  <c r="AK79" i="2"/>
  <c r="AH79" i="2"/>
  <c r="Z79" i="2"/>
  <c r="AD79" i="2" s="1"/>
  <c r="Q79" i="2"/>
  <c r="R79" i="2" s="1"/>
  <c r="X79" i="2" s="1"/>
  <c r="L79" i="2"/>
  <c r="O79" i="2" s="1"/>
  <c r="H79" i="2"/>
  <c r="G79" i="2"/>
  <c r="D79" i="2"/>
  <c r="AL78" i="2"/>
  <c r="AI78" i="2"/>
  <c r="AE78" i="2"/>
  <c r="AH78" i="2" s="1"/>
  <c r="Z78" i="2"/>
  <c r="AD78" i="2" s="1"/>
  <c r="Q78" i="2"/>
  <c r="R78" i="2" s="1"/>
  <c r="X78" i="2" s="1"/>
  <c r="L78" i="2"/>
  <c r="H78" i="2"/>
  <c r="G78" i="2"/>
  <c r="D78" i="2"/>
  <c r="AK77" i="2"/>
  <c r="AN77" i="2" s="1"/>
  <c r="AH77" i="2"/>
  <c r="Z77" i="2"/>
  <c r="AD77" i="2" s="1"/>
  <c r="T77" i="2"/>
  <c r="Q77" i="2"/>
  <c r="R77" i="2" s="1"/>
  <c r="L77" i="2"/>
  <c r="O77" i="2" s="1"/>
  <c r="H77" i="2"/>
  <c r="C77" i="2"/>
  <c r="G77" i="2" s="1"/>
  <c r="AK76" i="2"/>
  <c r="AN76" i="2" s="1"/>
  <c r="AH76" i="2"/>
  <c r="T76" i="2"/>
  <c r="Q76" i="2"/>
  <c r="R76" i="2" s="1"/>
  <c r="L76" i="2"/>
  <c r="O76" i="2" s="1"/>
  <c r="H76" i="2"/>
  <c r="G76" i="2"/>
  <c r="D76" i="2"/>
  <c r="Z76" i="2" s="1"/>
  <c r="AD76" i="2" s="1"/>
  <c r="AK75" i="2"/>
  <c r="AE75" i="2"/>
  <c r="AH75" i="2" s="1"/>
  <c r="Z75" i="2"/>
  <c r="AD75" i="2" s="1"/>
  <c r="T75" i="2"/>
  <c r="Q75" i="2"/>
  <c r="R75" i="2" s="1"/>
  <c r="L75" i="2"/>
  <c r="O75" i="2" s="1"/>
  <c r="H75" i="2"/>
  <c r="C75" i="2"/>
  <c r="G75" i="2" s="1"/>
  <c r="AL74" i="2"/>
  <c r="AH74" i="2"/>
  <c r="Z74" i="2"/>
  <c r="AD74" i="2" s="1"/>
  <c r="Q74" i="2"/>
  <c r="R74" i="2" s="1"/>
  <c r="X74" i="2" s="1"/>
  <c r="L74" i="2"/>
  <c r="N74" i="2" s="1"/>
  <c r="H74" i="2"/>
  <c r="G74" i="2"/>
  <c r="D74" i="2"/>
  <c r="AK73" i="2"/>
  <c r="AE73" i="2"/>
  <c r="AH73" i="2" s="1"/>
  <c r="Q73" i="2"/>
  <c r="R73" i="2" s="1"/>
  <c r="X73" i="2" s="1"/>
  <c r="I73" i="2"/>
  <c r="L73" i="2" s="1"/>
  <c r="G73" i="2"/>
  <c r="D73" i="2"/>
  <c r="Z73" i="2" s="1"/>
  <c r="AD73" i="2" s="1"/>
  <c r="AL72" i="2"/>
  <c r="AH72" i="2"/>
  <c r="Z72" i="2"/>
  <c r="AD72" i="2" s="1"/>
  <c r="Q72" i="2"/>
  <c r="R72" i="2" s="1"/>
  <c r="X72" i="2" s="1"/>
  <c r="L72" i="2"/>
  <c r="N72" i="2" s="1"/>
  <c r="H72" i="2"/>
  <c r="G72" i="2"/>
  <c r="D72" i="2"/>
  <c r="AK71" i="2"/>
  <c r="AE71" i="2"/>
  <c r="AH71" i="2" s="1"/>
  <c r="Z71" i="2"/>
  <c r="AD71" i="2" s="1"/>
  <c r="Q71" i="2"/>
  <c r="R71" i="2" s="1"/>
  <c r="X71" i="2" s="1"/>
  <c r="L71" i="2"/>
  <c r="H71" i="2"/>
  <c r="G71" i="2"/>
  <c r="D71" i="2"/>
  <c r="AL70" i="2"/>
  <c r="AH70" i="2"/>
  <c r="Q70" i="2"/>
  <c r="R70" i="2" s="1"/>
  <c r="X70" i="2" s="1"/>
  <c r="L70" i="2"/>
  <c r="O70" i="2" s="1"/>
  <c r="H70" i="2"/>
  <c r="G70" i="2"/>
  <c r="D70" i="2"/>
  <c r="Z70" i="2" s="1"/>
  <c r="AD70" i="2" s="1"/>
  <c r="AK69" i="2"/>
  <c r="AH69" i="2"/>
  <c r="Z69" i="2"/>
  <c r="AD69" i="2" s="1"/>
  <c r="Q69" i="2"/>
  <c r="R69" i="2" s="1"/>
  <c r="X69" i="2" s="1"/>
  <c r="H69" i="2"/>
  <c r="I69" i="2" s="1"/>
  <c r="L69" i="2" s="1"/>
  <c r="G69" i="2"/>
  <c r="D69" i="2"/>
  <c r="AL68" i="2"/>
  <c r="AH68" i="2"/>
  <c r="Z68" i="2"/>
  <c r="AD68" i="2" s="1"/>
  <c r="Q68" i="2"/>
  <c r="R68" i="2" s="1"/>
  <c r="X68" i="2" s="1"/>
  <c r="I68" i="2"/>
  <c r="L68" i="2" s="1"/>
  <c r="O68" i="2" s="1"/>
  <c r="G68" i="2"/>
  <c r="D68" i="2"/>
  <c r="AK67" i="2"/>
  <c r="AH67" i="2"/>
  <c r="Z67" i="2"/>
  <c r="AD67" i="2" s="1"/>
  <c r="Q67" i="2"/>
  <c r="R67" i="2" s="1"/>
  <c r="X67" i="2" s="1"/>
  <c r="H67" i="2"/>
  <c r="I67" i="2" s="1"/>
  <c r="L67" i="2" s="1"/>
  <c r="C67" i="2"/>
  <c r="G67" i="2" s="1"/>
  <c r="AK66" i="2"/>
  <c r="AG66" i="2"/>
  <c r="AG282" i="2" s="1"/>
  <c r="AE66" i="2"/>
  <c r="Z66" i="2"/>
  <c r="Q66" i="2"/>
  <c r="H66" i="2"/>
  <c r="I66" i="2" s="1"/>
  <c r="G66" i="2"/>
  <c r="D66" i="2"/>
  <c r="AE50" i="2"/>
  <c r="R50" i="2"/>
  <c r="L50" i="2"/>
  <c r="N50" i="2" s="1"/>
  <c r="D50" i="2"/>
  <c r="AE49" i="2"/>
  <c r="R49" i="2"/>
  <c r="L49" i="2"/>
  <c r="N49" i="2" s="1"/>
  <c r="D49" i="2"/>
  <c r="AE48" i="2"/>
  <c r="R48" i="2"/>
  <c r="L48" i="2"/>
  <c r="N48" i="2" s="1"/>
  <c r="AE47" i="2"/>
  <c r="R47" i="2"/>
  <c r="L47" i="2"/>
  <c r="N47" i="2" s="1"/>
  <c r="AE46" i="2"/>
  <c r="R46" i="2"/>
  <c r="L46" i="2"/>
  <c r="N46" i="2" s="1"/>
  <c r="D46" i="2"/>
  <c r="AE45" i="2"/>
  <c r="R45" i="2"/>
  <c r="L45" i="2"/>
  <c r="N45" i="2" s="1"/>
  <c r="AH44" i="2"/>
  <c r="R44" i="2"/>
  <c r="L44" i="2"/>
  <c r="N44" i="2" s="1"/>
  <c r="D44" i="2"/>
  <c r="AE43" i="2"/>
  <c r="AH43" i="2" s="1"/>
  <c r="R43" i="2"/>
  <c r="L43" i="2"/>
  <c r="N43" i="2" s="1"/>
  <c r="C43" i="2"/>
  <c r="D43" i="2" s="1"/>
  <c r="AH42" i="2"/>
  <c r="AD42" i="2"/>
  <c r="R42" i="2"/>
  <c r="X42" i="2" s="1"/>
  <c r="L42" i="2"/>
  <c r="O42" i="2" s="1"/>
  <c r="D42" i="2"/>
  <c r="AH41" i="2"/>
  <c r="AD41" i="2"/>
  <c r="R41" i="2"/>
  <c r="X41" i="2" s="1"/>
  <c r="L41" i="2"/>
  <c r="O41" i="2" s="1"/>
  <c r="D41" i="2"/>
  <c r="AL40" i="2"/>
  <c r="AK40" i="2"/>
  <c r="AJ40" i="2"/>
  <c r="AI40" i="2"/>
  <c r="Z40" i="2"/>
  <c r="AD40" i="2" s="1"/>
  <c r="P40" i="2"/>
  <c r="R40" i="2" s="1"/>
  <c r="X40" i="2" s="1"/>
  <c r="L40" i="2"/>
  <c r="N40" i="2" s="1"/>
  <c r="H40" i="2"/>
  <c r="AF39" i="2"/>
  <c r="AH39" i="2" s="1"/>
  <c r="AD39" i="2"/>
  <c r="R39" i="2"/>
  <c r="X39" i="2" s="1"/>
  <c r="L39" i="2"/>
  <c r="O39" i="2" s="1"/>
  <c r="D39" i="2"/>
  <c r="AE38" i="2"/>
  <c r="AD38" i="2"/>
  <c r="U38" i="2"/>
  <c r="T38" i="2"/>
  <c r="R38" i="2"/>
  <c r="L38" i="2"/>
  <c r="O38" i="2" s="1"/>
  <c r="D38" i="2"/>
  <c r="AE37" i="2"/>
  <c r="AH37" i="2" s="1"/>
  <c r="AD37" i="2"/>
  <c r="R37" i="2"/>
  <c r="X37" i="2" s="1"/>
  <c r="L37" i="2"/>
  <c r="N37" i="2" s="1"/>
  <c r="AF36" i="2"/>
  <c r="AH36" i="2" s="1"/>
  <c r="AD36" i="2"/>
  <c r="R36" i="2"/>
  <c r="X36" i="2" s="1"/>
  <c r="L36" i="2"/>
  <c r="O36" i="2" s="1"/>
  <c r="D36" i="2"/>
  <c r="AH35" i="2"/>
  <c r="AD35" i="2"/>
  <c r="R35" i="2"/>
  <c r="X35" i="2" s="1"/>
  <c r="L35" i="2"/>
  <c r="N35" i="2" s="1"/>
  <c r="D35" i="2"/>
  <c r="AE34" i="2"/>
  <c r="AH34" i="2" s="1"/>
  <c r="AD34" i="2"/>
  <c r="R34" i="2"/>
  <c r="X34" i="2" s="1"/>
  <c r="O34" i="2"/>
  <c r="N34" i="2"/>
  <c r="D34" i="2"/>
  <c r="AH33" i="2"/>
  <c r="AD33" i="2"/>
  <c r="R33" i="2"/>
  <c r="X33" i="2" s="1"/>
  <c r="L33" i="2"/>
  <c r="N33" i="2" s="1"/>
  <c r="D33" i="2"/>
  <c r="AL32" i="2"/>
  <c r="AK32" i="2"/>
  <c r="AE32" i="2"/>
  <c r="Z32" i="2"/>
  <c r="AD32" i="2" s="1"/>
  <c r="P32" i="2"/>
  <c r="L32" i="2"/>
  <c r="O32" i="2" s="1"/>
  <c r="H32" i="2"/>
  <c r="C32" i="2"/>
  <c r="D32" i="2" s="1"/>
  <c r="R31" i="2"/>
  <c r="L31" i="2"/>
  <c r="N31" i="2" s="1"/>
  <c r="R30" i="2"/>
  <c r="L30" i="2"/>
  <c r="N30" i="2" s="1"/>
  <c r="D30" i="2"/>
  <c r="R29" i="2"/>
  <c r="L29" i="2"/>
  <c r="N29" i="2" s="1"/>
  <c r="D29" i="2"/>
  <c r="R28" i="2"/>
  <c r="L28" i="2"/>
  <c r="N28" i="2" s="1"/>
  <c r="D28" i="2"/>
  <c r="R27" i="2"/>
  <c r="L27" i="2"/>
  <c r="N27" i="2" s="1"/>
  <c r="R26" i="2"/>
  <c r="L26" i="2"/>
  <c r="N26" i="2" s="1"/>
  <c r="R25" i="2"/>
  <c r="L25" i="2"/>
  <c r="N25" i="2" s="1"/>
  <c r="D25" i="2"/>
  <c r="R24" i="2"/>
  <c r="L24" i="2"/>
  <c r="N24" i="2" s="1"/>
  <c r="D24" i="2"/>
  <c r="R23" i="2"/>
  <c r="L23" i="2"/>
  <c r="N23" i="2" s="1"/>
  <c r="F23" i="2"/>
  <c r="C23" i="2"/>
  <c r="D23" i="2" s="1"/>
  <c r="AH22" i="2"/>
  <c r="AD22" i="2"/>
  <c r="R22" i="2"/>
  <c r="X22" i="2" s="1"/>
  <c r="L22" i="2"/>
  <c r="O22" i="2" s="1"/>
  <c r="D22" i="2"/>
  <c r="AH21" i="2"/>
  <c r="AD21" i="2"/>
  <c r="R21" i="2"/>
  <c r="X21" i="2" s="1"/>
  <c r="L21" i="2"/>
  <c r="O21" i="2" s="1"/>
  <c r="D21" i="2"/>
  <c r="AH20" i="2"/>
  <c r="AD20" i="2"/>
  <c r="R20" i="2"/>
  <c r="X20" i="2" s="1"/>
  <c r="L20" i="2"/>
  <c r="D20" i="2"/>
  <c r="AL19" i="2"/>
  <c r="AK19" i="2"/>
  <c r="AJ19" i="2"/>
  <c r="AJ18" i="2" s="1"/>
  <c r="AI19" i="2"/>
  <c r="AG19" i="2"/>
  <c r="AG18" i="2" s="1"/>
  <c r="AG17" i="2" s="1"/>
  <c r="AE19" i="2"/>
  <c r="Z19" i="2"/>
  <c r="AD19" i="2" s="1"/>
  <c r="U19" i="2"/>
  <c r="U18" i="2" s="1"/>
  <c r="T19" i="2"/>
  <c r="T18" i="2" s="1"/>
  <c r="S19" i="2"/>
  <c r="S18" i="2" s="1"/>
  <c r="S17" i="2" s="1"/>
  <c r="Q19" i="2"/>
  <c r="Q18" i="2" s="1"/>
  <c r="Q17" i="2" s="1"/>
  <c r="P19" i="2"/>
  <c r="M19" i="2"/>
  <c r="I19" i="2"/>
  <c r="I18" i="2" s="1"/>
  <c r="I17" i="2" s="1"/>
  <c r="H19" i="2"/>
  <c r="H18" i="2" s="1"/>
  <c r="G19" i="2"/>
  <c r="G18" i="2" s="1"/>
  <c r="G17" i="2" s="1"/>
  <c r="F19" i="2"/>
  <c r="E19" i="2"/>
  <c r="E18" i="2" s="1"/>
  <c r="E17" i="2" s="1"/>
  <c r="C19" i="2"/>
  <c r="D19" i="2" s="1"/>
  <c r="AI18" i="2"/>
  <c r="AE18" i="2" l="1"/>
  <c r="AD295" i="2"/>
  <c r="N97" i="2"/>
  <c r="AF32" i="2"/>
  <c r="AF18" i="2" s="1"/>
  <c r="AD281" i="4"/>
  <c r="AF17" i="4"/>
  <c r="AL257" i="2"/>
  <c r="AJ17" i="2"/>
  <c r="AD133" i="2"/>
  <c r="G163" i="2"/>
  <c r="O270" i="2"/>
  <c r="Q281" i="4"/>
  <c r="AH281" i="4"/>
  <c r="O121" i="2"/>
  <c r="O232" i="2"/>
  <c r="O233" i="2"/>
  <c r="N236" i="2"/>
  <c r="AL177" i="2"/>
  <c r="AL194" i="2"/>
  <c r="AL260" i="2"/>
  <c r="AH66" i="2"/>
  <c r="X192" i="2"/>
  <c r="AL81" i="2"/>
  <c r="N147" i="2"/>
  <c r="D256" i="2"/>
  <c r="AI17" i="2"/>
  <c r="U17" i="2"/>
  <c r="AH19" i="2"/>
  <c r="AL171" i="2"/>
  <c r="O206" i="2"/>
  <c r="O222" i="2"/>
  <c r="AH108" i="2"/>
  <c r="X112" i="2"/>
  <c r="D252" i="2"/>
  <c r="N77" i="2"/>
  <c r="L19" i="2"/>
  <c r="N19" i="2" s="1"/>
  <c r="O40" i="2"/>
  <c r="N70" i="2"/>
  <c r="X76" i="2"/>
  <c r="O81" i="2"/>
  <c r="AL84" i="2"/>
  <c r="AL85" i="2"/>
  <c r="N87" i="2"/>
  <c r="O93" i="2"/>
  <c r="O135" i="2"/>
  <c r="N166" i="2"/>
  <c r="N208" i="2"/>
  <c r="G218" i="2"/>
  <c r="AL227" i="2"/>
  <c r="AL242" i="2"/>
  <c r="F18" i="2"/>
  <c r="F17" i="2" s="1"/>
  <c r="AK18" i="2"/>
  <c r="AK17" i="2" s="1"/>
  <c r="X19" i="2"/>
  <c r="X142" i="2"/>
  <c r="O156" i="2"/>
  <c r="AL170" i="2"/>
  <c r="AL180" i="2"/>
  <c r="N186" i="2"/>
  <c r="O216" i="2"/>
  <c r="AL240" i="2"/>
  <c r="AL277" i="2"/>
  <c r="N193" i="2"/>
  <c r="O193" i="2"/>
  <c r="N21" i="2"/>
  <c r="X75" i="2"/>
  <c r="G83" i="2"/>
  <c r="N91" i="2"/>
  <c r="O103" i="2"/>
  <c r="AL149" i="2"/>
  <c r="AL150" i="2"/>
  <c r="G157" i="2"/>
  <c r="AF184" i="2"/>
  <c r="AH184" i="2" s="1"/>
  <c r="N199" i="2"/>
  <c r="AL203" i="2"/>
  <c r="O212" i="2"/>
  <c r="O214" i="2"/>
  <c r="AL217" i="2"/>
  <c r="N242" i="2"/>
  <c r="N251" i="2"/>
  <c r="N259" i="2"/>
  <c r="AL261" i="2"/>
  <c r="AL273" i="2"/>
  <c r="AN18" i="2"/>
  <c r="AN17" i="2" s="1"/>
  <c r="H17" i="2"/>
  <c r="P18" i="2"/>
  <c r="P17" i="2" s="1"/>
  <c r="D77" i="2"/>
  <c r="X77" i="2"/>
  <c r="N96" i="2"/>
  <c r="O129" i="2"/>
  <c r="AL137" i="2"/>
  <c r="AL159" i="2"/>
  <c r="AL165" i="2"/>
  <c r="AL169" i="2"/>
  <c r="O192" i="2"/>
  <c r="AL195" i="2"/>
  <c r="AL207" i="2"/>
  <c r="AL208" i="2"/>
  <c r="AL225" i="2"/>
  <c r="X234" i="2"/>
  <c r="AL238" i="2"/>
  <c r="AL253" i="2"/>
  <c r="AN264" i="2"/>
  <c r="D281" i="4"/>
  <c r="G281" i="4"/>
  <c r="Z289" i="4"/>
  <c r="AA290" i="4"/>
  <c r="AK289" i="4"/>
  <c r="AM290" i="4"/>
  <c r="AM289" i="4" s="1"/>
  <c r="AL281" i="4"/>
  <c r="AL290" i="4" s="1"/>
  <c r="AL289" i="4" s="1"/>
  <c r="AL282" i="4"/>
  <c r="N79" i="4"/>
  <c r="O79" i="4"/>
  <c r="L281" i="4"/>
  <c r="O281" i="4" s="1"/>
  <c r="O114" i="4"/>
  <c r="N114" i="4"/>
  <c r="R281" i="4"/>
  <c r="X65" i="4"/>
  <c r="X281" i="4" s="1"/>
  <c r="X97" i="4"/>
  <c r="O162" i="4"/>
  <c r="N162" i="4"/>
  <c r="O65" i="4"/>
  <c r="N65" i="4"/>
  <c r="M290" i="4"/>
  <c r="AD289" i="4"/>
  <c r="AE290" i="4"/>
  <c r="AN281" i="4"/>
  <c r="AN290" i="4" s="1"/>
  <c r="AN289" i="4" s="1"/>
  <c r="L18" i="4"/>
  <c r="O19" i="4"/>
  <c r="S281" i="4"/>
  <c r="J290" i="4"/>
  <c r="J163" i="2"/>
  <c r="L163" i="2" s="1"/>
  <c r="Z18" i="2"/>
  <c r="AL67" i="2"/>
  <c r="AN67" i="2"/>
  <c r="AL18" i="2"/>
  <c r="AL17" i="2" s="1"/>
  <c r="O20" i="2"/>
  <c r="N22" i="2"/>
  <c r="X38" i="2"/>
  <c r="AL69" i="2"/>
  <c r="AN69" i="2"/>
  <c r="O72" i="2"/>
  <c r="O74" i="2"/>
  <c r="AL76" i="2"/>
  <c r="D85" i="2"/>
  <c r="O88" i="2"/>
  <c r="AL92" i="2"/>
  <c r="AN92" i="2"/>
  <c r="AL95" i="2"/>
  <c r="AN95" i="2"/>
  <c r="AL98" i="2"/>
  <c r="AL99" i="2"/>
  <c r="AN99" i="2"/>
  <c r="O104" i="2"/>
  <c r="AL105" i="2"/>
  <c r="AA282" i="2"/>
  <c r="AL134" i="2"/>
  <c r="N141" i="2"/>
  <c r="AL143" i="2"/>
  <c r="AN143" i="2"/>
  <c r="AL144" i="2"/>
  <c r="AN144" i="2"/>
  <c r="AL145" i="2"/>
  <c r="AH152" i="2"/>
  <c r="O155" i="2"/>
  <c r="X156" i="2"/>
  <c r="AL156" i="2"/>
  <c r="AN156" i="2"/>
  <c r="N158" i="2"/>
  <c r="O159" i="2"/>
  <c r="AD169" i="2"/>
  <c r="AL173" i="2"/>
  <c r="AL178" i="2"/>
  <c r="AN178" i="2"/>
  <c r="O179" i="2"/>
  <c r="N179" i="2"/>
  <c r="AL199" i="2"/>
  <c r="AN199" i="2"/>
  <c r="AL228" i="2"/>
  <c r="AN228" i="2"/>
  <c r="T17" i="2"/>
  <c r="AF38" i="2"/>
  <c r="AF17" i="2" s="1"/>
  <c r="AL80" i="2"/>
  <c r="AN80" i="2"/>
  <c r="AL86" i="2"/>
  <c r="AN86" i="2"/>
  <c r="AL96" i="2"/>
  <c r="AN96" i="2"/>
  <c r="AL104" i="2"/>
  <c r="AN104" i="2"/>
  <c r="L115" i="2"/>
  <c r="N115" i="2" s="1"/>
  <c r="AL136" i="2"/>
  <c r="AN136" i="2"/>
  <c r="AL155" i="2"/>
  <c r="AN155" i="2"/>
  <c r="AL183" i="2"/>
  <c r="AN183" i="2"/>
  <c r="AL187" i="2"/>
  <c r="AN187" i="2"/>
  <c r="N188" i="2"/>
  <c r="O188" i="2"/>
  <c r="AL193" i="2"/>
  <c r="AN193" i="2"/>
  <c r="N194" i="2"/>
  <c r="O194" i="2"/>
  <c r="AL202" i="2"/>
  <c r="AN202" i="2"/>
  <c r="AL210" i="2"/>
  <c r="AN210" i="2"/>
  <c r="AL226" i="2"/>
  <c r="AN226" i="2"/>
  <c r="N227" i="2"/>
  <c r="O227" i="2"/>
  <c r="AL71" i="2"/>
  <c r="AN71" i="2"/>
  <c r="AL73" i="2"/>
  <c r="AN73" i="2"/>
  <c r="AL75" i="2"/>
  <c r="AN75" i="2"/>
  <c r="AL83" i="2"/>
  <c r="AN83" i="2"/>
  <c r="AL87" i="2"/>
  <c r="AN87" i="2"/>
  <c r="AL111" i="2"/>
  <c r="AN111" i="2"/>
  <c r="AL114" i="2"/>
  <c r="AN114" i="2"/>
  <c r="AL123" i="2"/>
  <c r="AN123" i="2"/>
  <c r="AL158" i="2"/>
  <c r="AN158" i="2"/>
  <c r="AL186" i="2"/>
  <c r="AN186" i="2"/>
  <c r="O187" i="2"/>
  <c r="N187" i="2"/>
  <c r="N190" i="2"/>
  <c r="O190" i="2"/>
  <c r="AL196" i="2"/>
  <c r="AN196" i="2"/>
  <c r="N198" i="2"/>
  <c r="O198" i="2"/>
  <c r="N20" i="2"/>
  <c r="AL66" i="2"/>
  <c r="AN66" i="2"/>
  <c r="D75" i="2"/>
  <c r="AL77" i="2"/>
  <c r="AL79" i="2"/>
  <c r="AN79" i="2"/>
  <c r="AL82" i="2"/>
  <c r="AN82" i="2"/>
  <c r="N85" i="2"/>
  <c r="D86" i="2"/>
  <c r="AL88" i="2"/>
  <c r="AL89" i="2"/>
  <c r="AN89" i="2"/>
  <c r="O98" i="2"/>
  <c r="AL103" i="2"/>
  <c r="AD112" i="2"/>
  <c r="AH129" i="2"/>
  <c r="AL135" i="2"/>
  <c r="AN135" i="2"/>
  <c r="AL139" i="2"/>
  <c r="AN139" i="2"/>
  <c r="N149" i="2"/>
  <c r="O152" i="2"/>
  <c r="AL152" i="2"/>
  <c r="AN152" i="2"/>
  <c r="N154" i="2"/>
  <c r="AL154" i="2"/>
  <c r="AL157" i="2"/>
  <c r="AL163" i="2"/>
  <c r="AL168" i="2"/>
  <c r="AN168" i="2"/>
  <c r="AL179" i="2"/>
  <c r="AL182" i="2"/>
  <c r="AL190" i="2"/>
  <c r="AN190" i="2"/>
  <c r="O201" i="2"/>
  <c r="N201" i="2"/>
  <c r="AL206" i="2"/>
  <c r="AN206" i="2"/>
  <c r="AL222" i="2"/>
  <c r="AN222" i="2"/>
  <c r="AN223" i="2"/>
  <c r="AL223" i="2"/>
  <c r="AL229" i="2"/>
  <c r="AN229" i="2"/>
  <c r="L234" i="2"/>
  <c r="O234" i="2" s="1"/>
  <c r="G265" i="2"/>
  <c r="AL266" i="2"/>
  <c r="AL274" i="2"/>
  <c r="O281" i="2"/>
  <c r="AN271" i="2"/>
  <c r="AN262" i="2"/>
  <c r="AN258" i="2"/>
  <c r="AN250" i="2"/>
  <c r="AN234" i="2"/>
  <c r="AN230" i="2"/>
  <c r="AN198" i="2"/>
  <c r="X204" i="2"/>
  <c r="X205" i="2"/>
  <c r="X228" i="2"/>
  <c r="X229" i="2"/>
  <c r="AM17" i="2"/>
  <c r="AN278" i="2"/>
  <c r="AN270" i="2"/>
  <c r="AN265" i="2"/>
  <c r="AN249" i="2"/>
  <c r="AN245" i="2"/>
  <c r="AN237" i="2"/>
  <c r="AN233" i="2"/>
  <c r="AN205" i="2"/>
  <c r="AN201" i="2"/>
  <c r="AN256" i="2"/>
  <c r="AN252" i="2"/>
  <c r="AN248" i="2"/>
  <c r="AN232" i="2"/>
  <c r="AN224" i="2"/>
  <c r="AN220" i="2"/>
  <c r="AN204" i="2"/>
  <c r="X203" i="2"/>
  <c r="G234" i="2"/>
  <c r="O257" i="2"/>
  <c r="O265" i="2"/>
  <c r="AL276" i="2"/>
  <c r="AN280" i="2"/>
  <c r="AN259" i="2"/>
  <c r="AN251" i="2"/>
  <c r="AN243" i="2"/>
  <c r="AN239" i="2"/>
  <c r="AN219" i="2"/>
  <c r="AN215" i="2"/>
  <c r="AN211" i="2"/>
  <c r="O162" i="2"/>
  <c r="N162" i="2"/>
  <c r="N207" i="2"/>
  <c r="O207" i="2"/>
  <c r="R19" i="2"/>
  <c r="N75" i="2"/>
  <c r="O89" i="2"/>
  <c r="N94" i="2"/>
  <c r="O99" i="2"/>
  <c r="O107" i="2"/>
  <c r="O110" i="2"/>
  <c r="N111" i="2"/>
  <c r="O116" i="2"/>
  <c r="O123" i="2"/>
  <c r="O126" i="2"/>
  <c r="N134" i="2"/>
  <c r="O139" i="2"/>
  <c r="N139" i="2"/>
  <c r="N143" i="2"/>
  <c r="O150" i="2"/>
  <c r="N150" i="2"/>
  <c r="N197" i="2"/>
  <c r="O197" i="2"/>
  <c r="O231" i="2"/>
  <c r="N231" i="2"/>
  <c r="O178" i="2"/>
  <c r="N178" i="2"/>
  <c r="N38" i="2"/>
  <c r="N76" i="2"/>
  <c r="N79" i="2"/>
  <c r="O82" i="2"/>
  <c r="O84" i="2"/>
  <c r="N90" i="2"/>
  <c r="N92" i="2"/>
  <c r="N100" i="2"/>
  <c r="N105" i="2"/>
  <c r="N108" i="2"/>
  <c r="N112" i="2"/>
  <c r="O113" i="2"/>
  <c r="O120" i="2"/>
  <c r="N136" i="2"/>
  <c r="N137" i="2"/>
  <c r="N138" i="2"/>
  <c r="N140" i="2"/>
  <c r="O144" i="2"/>
  <c r="O146" i="2"/>
  <c r="N146" i="2"/>
  <c r="O148" i="2"/>
  <c r="N148" i="2"/>
  <c r="O153" i="2"/>
  <c r="N153" i="2"/>
  <c r="O174" i="2"/>
  <c r="N174" i="2"/>
  <c r="O196" i="2"/>
  <c r="N196" i="2"/>
  <c r="N204" i="2"/>
  <c r="O204" i="2"/>
  <c r="N225" i="2"/>
  <c r="O225" i="2"/>
  <c r="O278" i="2"/>
  <c r="N278" i="2"/>
  <c r="N145" i="2"/>
  <c r="O145" i="2"/>
  <c r="O151" i="2"/>
  <c r="N151" i="2"/>
  <c r="O184" i="2"/>
  <c r="N184" i="2"/>
  <c r="N168" i="2"/>
  <c r="O168" i="2"/>
  <c r="O170" i="2"/>
  <c r="N170" i="2"/>
  <c r="O183" i="2"/>
  <c r="N183" i="2"/>
  <c r="O244" i="2"/>
  <c r="N244" i="2"/>
  <c r="O252" i="2"/>
  <c r="N252" i="2"/>
  <c r="O157" i="2"/>
  <c r="N161" i="2"/>
  <c r="N189" i="2"/>
  <c r="O211" i="2"/>
  <c r="N215" i="2"/>
  <c r="O218" i="2"/>
  <c r="O223" i="2"/>
  <c r="O235" i="2"/>
  <c r="O238" i="2"/>
  <c r="O256" i="2"/>
  <c r="O272" i="2"/>
  <c r="N213" i="2"/>
  <c r="N224" i="2"/>
  <c r="O240" i="2"/>
  <c r="O67" i="2"/>
  <c r="N67" i="2"/>
  <c r="O95" i="2"/>
  <c r="N95" i="2"/>
  <c r="I282" i="2"/>
  <c r="I283" i="2" s="1"/>
  <c r="L66" i="2"/>
  <c r="O217" i="2"/>
  <c r="N217" i="2"/>
  <c r="O229" i="2"/>
  <c r="N229" i="2"/>
  <c r="N32" i="2"/>
  <c r="Z282" i="2"/>
  <c r="AD66" i="2"/>
  <c r="O69" i="2"/>
  <c r="N69" i="2"/>
  <c r="O73" i="2"/>
  <c r="N73" i="2"/>
  <c r="N36" i="2"/>
  <c r="C18" i="2"/>
  <c r="R32" i="2"/>
  <c r="AH32" i="2"/>
  <c r="C40" i="2"/>
  <c r="D40" i="2" s="1"/>
  <c r="H282" i="2"/>
  <c r="D67" i="2"/>
  <c r="N68" i="2"/>
  <c r="J80" i="2"/>
  <c r="J282" i="2" s="1"/>
  <c r="D152" i="2"/>
  <c r="G152" i="2"/>
  <c r="N160" i="2"/>
  <c r="O160" i="2"/>
  <c r="N205" i="2"/>
  <c r="O205" i="2"/>
  <c r="M18" i="2"/>
  <c r="AE40" i="2"/>
  <c r="O106" i="2"/>
  <c r="N106" i="2"/>
  <c r="O127" i="2"/>
  <c r="N127" i="2"/>
  <c r="O130" i="2"/>
  <c r="N130" i="2"/>
  <c r="N185" i="2"/>
  <c r="O185" i="2"/>
  <c r="N71" i="2"/>
  <c r="O71" i="2"/>
  <c r="S121" i="2"/>
  <c r="S282" i="2" s="1"/>
  <c r="O195" i="2"/>
  <c r="N195" i="2"/>
  <c r="O226" i="2"/>
  <c r="N226" i="2"/>
  <c r="N39" i="2"/>
  <c r="N78" i="2"/>
  <c r="O78" i="2"/>
  <c r="N83" i="2"/>
  <c r="O86" i="2"/>
  <c r="R66" i="2"/>
  <c r="AE282" i="2"/>
  <c r="T98" i="2"/>
  <c r="U98" i="2" s="1"/>
  <c r="U282" i="2" s="1"/>
  <c r="N109" i="2"/>
  <c r="N114" i="2"/>
  <c r="G145" i="2"/>
  <c r="D150" i="2"/>
  <c r="D154" i="2"/>
  <c r="Q160" i="2"/>
  <c r="R160" i="2" s="1"/>
  <c r="X160" i="2" s="1"/>
  <c r="O164" i="2"/>
  <c r="N164" i="2"/>
  <c r="O169" i="2"/>
  <c r="O171" i="2"/>
  <c r="N171" i="2"/>
  <c r="O176" i="2"/>
  <c r="O180" i="2"/>
  <c r="N180" i="2"/>
  <c r="O200" i="2"/>
  <c r="N200" i="2"/>
  <c r="O202" i="2"/>
  <c r="N202" i="2"/>
  <c r="O203" i="2"/>
  <c r="N203" i="2"/>
  <c r="D214" i="2"/>
  <c r="G214" i="2"/>
  <c r="O219" i="2"/>
  <c r="N219" i="2"/>
  <c r="O237" i="2"/>
  <c r="N237" i="2"/>
  <c r="O248" i="2"/>
  <c r="N248" i="2"/>
  <c r="G171" i="2"/>
  <c r="D171" i="2"/>
  <c r="O173" i="2"/>
  <c r="N173" i="2"/>
  <c r="O175" i="2"/>
  <c r="N175" i="2"/>
  <c r="O182" i="2"/>
  <c r="N182" i="2"/>
  <c r="AK282" i="2"/>
  <c r="AI282" i="2"/>
  <c r="X111" i="2"/>
  <c r="C282" i="2"/>
  <c r="O125" i="2"/>
  <c r="O172" i="2"/>
  <c r="N172" i="2"/>
  <c r="O177" i="2"/>
  <c r="N177" i="2"/>
  <c r="O181" i="2"/>
  <c r="N181" i="2"/>
  <c r="O191" i="2"/>
  <c r="N191" i="2"/>
  <c r="G195" i="2"/>
  <c r="D195" i="2"/>
  <c r="O210" i="2"/>
  <c r="N210" i="2"/>
  <c r="G215" i="2"/>
  <c r="D215" i="2"/>
  <c r="O220" i="2"/>
  <c r="N220" i="2"/>
  <c r="AD196" i="2"/>
  <c r="X202" i="2"/>
  <c r="AD218" i="2"/>
  <c r="N230" i="2"/>
  <c r="O230" i="2"/>
  <c r="O243" i="2"/>
  <c r="N243" i="2"/>
  <c r="N241" i="2"/>
  <c r="O241" i="2"/>
  <c r="O245" i="2"/>
  <c r="N245" i="2"/>
  <c r="AH217" i="2"/>
  <c r="O228" i="2"/>
  <c r="N228" i="2"/>
  <c r="O239" i="2"/>
  <c r="N239" i="2"/>
  <c r="N247" i="2"/>
  <c r="O247" i="2"/>
  <c r="N250" i="2"/>
  <c r="O255" i="2"/>
  <c r="N255" i="2"/>
  <c r="N263" i="2"/>
  <c r="O273" i="2"/>
  <c r="N273" i="2"/>
  <c r="O253" i="2"/>
  <c r="N253" i="2"/>
  <c r="O261" i="2"/>
  <c r="N261" i="2"/>
  <c r="O262" i="2"/>
  <c r="N262" i="2"/>
  <c r="O249" i="2"/>
  <c r="N254" i="2"/>
  <c r="O258" i="2"/>
  <c r="N258" i="2"/>
  <c r="AE295" i="2"/>
  <c r="AD294" i="2"/>
  <c r="N264" i="2"/>
  <c r="N269" i="2"/>
  <c r="N271" i="2"/>
  <c r="N274" i="2"/>
  <c r="N275" i="2"/>
  <c r="N276" i="2"/>
  <c r="N277" i="2"/>
  <c r="N260" i="2"/>
  <c r="N266" i="2"/>
  <c r="N279" i="2"/>
  <c r="AJ293" i="2"/>
  <c r="Z295" i="2"/>
  <c r="AA295" i="2" s="1"/>
  <c r="AB295" i="2" s="1"/>
  <c r="AC295" i="2" s="1"/>
  <c r="AK275" i="1"/>
  <c r="AK273" i="1"/>
  <c r="AK272" i="1"/>
  <c r="AK271" i="1"/>
  <c r="AK269" i="1"/>
  <c r="AK268" i="1"/>
  <c r="AK266" i="1"/>
  <c r="AK265" i="1"/>
  <c r="AK262" i="1"/>
  <c r="AK261" i="1"/>
  <c r="AK260" i="1"/>
  <c r="AK258" i="1"/>
  <c r="AK257" i="1"/>
  <c r="AK256" i="1"/>
  <c r="AK255" i="1"/>
  <c r="AK254" i="1"/>
  <c r="AK253" i="1"/>
  <c r="AK252" i="1"/>
  <c r="AK249" i="1"/>
  <c r="AK248" i="1"/>
  <c r="AK247" i="1"/>
  <c r="AK246" i="1"/>
  <c r="AK245" i="1"/>
  <c r="AK244" i="1"/>
  <c r="AK241" i="1"/>
  <c r="AK239" i="1"/>
  <c r="AK238" i="1"/>
  <c r="AK236" i="1"/>
  <c r="AK235" i="1"/>
  <c r="AK234" i="1"/>
  <c r="AK233" i="1"/>
  <c r="AK230" i="1"/>
  <c r="AK229" i="1"/>
  <c r="AK228" i="1"/>
  <c r="AK226" i="1"/>
  <c r="AK225" i="1"/>
  <c r="AK224" i="1"/>
  <c r="AK223" i="1"/>
  <c r="AK222" i="1"/>
  <c r="AK221" i="1"/>
  <c r="AK220" i="1"/>
  <c r="AK219" i="1"/>
  <c r="AK218" i="1"/>
  <c r="AK216" i="1"/>
  <c r="AK215" i="1"/>
  <c r="AK213" i="1"/>
  <c r="AK211" i="1"/>
  <c r="AK207" i="1"/>
  <c r="AK206" i="1"/>
  <c r="AK204" i="1"/>
  <c r="AK203" i="1"/>
  <c r="AK202" i="1"/>
  <c r="AK201" i="1"/>
  <c r="AK200" i="1"/>
  <c r="AK199" i="1"/>
  <c r="AK198" i="1"/>
  <c r="AK197" i="1"/>
  <c r="AK195" i="1"/>
  <c r="AK194" i="1"/>
  <c r="AK192" i="1"/>
  <c r="AK191" i="1"/>
  <c r="AK190" i="1"/>
  <c r="AK189" i="1"/>
  <c r="AK186" i="1"/>
  <c r="AK183" i="1"/>
  <c r="AK182" i="1"/>
  <c r="AK179" i="1"/>
  <c r="AK178" i="1"/>
  <c r="AK176" i="1"/>
  <c r="AK175" i="1"/>
  <c r="AK174" i="1"/>
  <c r="AK173" i="1"/>
  <c r="AK169" i="1"/>
  <c r="AK167" i="1"/>
  <c r="AK166" i="1"/>
  <c r="AK165" i="1"/>
  <c r="AK164" i="1"/>
  <c r="AK161" i="1"/>
  <c r="AK159" i="1"/>
  <c r="AK155" i="1"/>
  <c r="AK154" i="1"/>
  <c r="AK153" i="1"/>
  <c r="AK152" i="1"/>
  <c r="AK151" i="1"/>
  <c r="AK150" i="1"/>
  <c r="AK148" i="1"/>
  <c r="AK146" i="1"/>
  <c r="AK145" i="1"/>
  <c r="AK140" i="1"/>
  <c r="AK135" i="1"/>
  <c r="AK133" i="1"/>
  <c r="AK132" i="1"/>
  <c r="AK131" i="1"/>
  <c r="AK130" i="1"/>
  <c r="AK119" i="1"/>
  <c r="AK110" i="1"/>
  <c r="AK107" i="1"/>
  <c r="AK101" i="1"/>
  <c r="AK100" i="1"/>
  <c r="AK99" i="1"/>
  <c r="AK95" i="1"/>
  <c r="AK94" i="1"/>
  <c r="AK92" i="1"/>
  <c r="AK91" i="1"/>
  <c r="AK85" i="1"/>
  <c r="AK84" i="1"/>
  <c r="AK83" i="1"/>
  <c r="AK82" i="1"/>
  <c r="AK81" i="1"/>
  <c r="AK80" i="1"/>
  <c r="AK78" i="1"/>
  <c r="AK77" i="1"/>
  <c r="AK76" i="1"/>
  <c r="AK75" i="1"/>
  <c r="AK73" i="1"/>
  <c r="AK72" i="1"/>
  <c r="AK71" i="1"/>
  <c r="AK69" i="1"/>
  <c r="AK67" i="1"/>
  <c r="AK65" i="1"/>
  <c r="AK63" i="1"/>
  <c r="AK62" i="1"/>
  <c r="N234" i="2" l="1"/>
  <c r="AH18" i="2"/>
  <c r="AK294" i="2"/>
  <c r="O115" i="2"/>
  <c r="AF282" i="2"/>
  <c r="L18" i="2"/>
  <c r="L17" i="2" s="1"/>
  <c r="AH282" i="2"/>
  <c r="AK293" i="2"/>
  <c r="AL282" i="2"/>
  <c r="AL294" i="2" s="1"/>
  <c r="AL293" i="2" s="1"/>
  <c r="AL283" i="2"/>
  <c r="AN282" i="2"/>
  <c r="AN294" i="2" s="1"/>
  <c r="O19" i="2"/>
  <c r="T282" i="2"/>
  <c r="N163" i="2"/>
  <c r="O163" i="2"/>
  <c r="K290" i="4"/>
  <c r="K289" i="4" s="1"/>
  <c r="J289" i="4"/>
  <c r="AF290" i="4"/>
  <c r="AE289" i="4"/>
  <c r="M289" i="4"/>
  <c r="R290" i="4"/>
  <c r="N281" i="4"/>
  <c r="AB290" i="4"/>
  <c r="AA289" i="4"/>
  <c r="L17" i="4"/>
  <c r="O18" i="4"/>
  <c r="N18" i="4"/>
  <c r="G282" i="2"/>
  <c r="AM294" i="2"/>
  <c r="AM293" i="2" s="1"/>
  <c r="AH38" i="2"/>
  <c r="AD18" i="2"/>
  <c r="Z17" i="2"/>
  <c r="AD17" i="2" s="1"/>
  <c r="Q282" i="2"/>
  <c r="D282" i="2"/>
  <c r="X121" i="2"/>
  <c r="X98" i="2"/>
  <c r="R18" i="2"/>
  <c r="R17" i="2" s="1"/>
  <c r="X32" i="2"/>
  <c r="X18" i="2" s="1"/>
  <c r="X17" i="2" s="1"/>
  <c r="AD293" i="2"/>
  <c r="L80" i="2"/>
  <c r="AD282" i="2"/>
  <c r="M17" i="2"/>
  <c r="N18" i="2"/>
  <c r="C17" i="2"/>
  <c r="D17" i="2" s="1"/>
  <c r="D18" i="2"/>
  <c r="R282" i="2"/>
  <c r="X66" i="2"/>
  <c r="AH40" i="2"/>
  <c r="AE17" i="2"/>
  <c r="AE294" i="2" s="1"/>
  <c r="O66" i="2"/>
  <c r="N66" i="2"/>
  <c r="J294" i="2"/>
  <c r="AK79" i="1"/>
  <c r="AK88" i="1"/>
  <c r="AK139" i="1"/>
  <c r="AK141" i="1"/>
  <c r="AN293" i="2" l="1"/>
  <c r="AO294" i="2"/>
  <c r="AO293" i="2" s="1"/>
  <c r="O18" i="2"/>
  <c r="AH17" i="2"/>
  <c r="AB289" i="4"/>
  <c r="AC290" i="4"/>
  <c r="AC289" i="4" s="1"/>
  <c r="AF289" i="4"/>
  <c r="AG290" i="4"/>
  <c r="AG289" i="4" s="1"/>
  <c r="L290" i="4"/>
  <c r="L289" i="4" s="1"/>
  <c r="O17" i="4"/>
  <c r="N17" i="4"/>
  <c r="S290" i="4"/>
  <c r="R289" i="4"/>
  <c r="Z294" i="2"/>
  <c r="X282" i="2"/>
  <c r="AF294" i="2"/>
  <c r="AE293" i="2"/>
  <c r="O80" i="2"/>
  <c r="N80" i="2"/>
  <c r="N282" i="2" s="1"/>
  <c r="L282" i="2"/>
  <c r="M294" i="2"/>
  <c r="O17" i="2"/>
  <c r="N17" i="2"/>
  <c r="K294" i="2"/>
  <c r="K293" i="2" s="1"/>
  <c r="J293" i="2"/>
  <c r="AJ286" i="1"/>
  <c r="S289" i="4" l="1"/>
  <c r="T290" i="4"/>
  <c r="AA294" i="2"/>
  <c r="Z293" i="2"/>
  <c r="M293" i="2"/>
  <c r="R294" i="2"/>
  <c r="AG294" i="2"/>
  <c r="AG293" i="2" s="1"/>
  <c r="AF293" i="2"/>
  <c r="O282" i="2"/>
  <c r="L294" i="2"/>
  <c r="L293" i="2" s="1"/>
  <c r="AJ37" i="1"/>
  <c r="AJ16" i="1"/>
  <c r="AJ15" i="1" s="1"/>
  <c r="AJ14" i="1" s="1"/>
  <c r="T289" i="4" l="1"/>
  <c r="U290" i="4"/>
  <c r="AB294" i="2"/>
  <c r="AA293" i="2"/>
  <c r="S294" i="2"/>
  <c r="R293" i="2"/>
  <c r="AK37" i="1"/>
  <c r="AK29" i="1"/>
  <c r="AK16" i="1"/>
  <c r="AL287" i="1"/>
  <c r="AL29" i="1"/>
  <c r="AL37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62" i="1"/>
  <c r="AK277" i="1"/>
  <c r="AK15" i="1" l="1"/>
  <c r="AK14" i="1" s="1"/>
  <c r="AK286" i="1" s="1"/>
  <c r="U289" i="4"/>
  <c r="V290" i="4"/>
  <c r="AB293" i="2"/>
  <c r="AC294" i="2"/>
  <c r="AC293" i="2" s="1"/>
  <c r="T294" i="2"/>
  <c r="S293" i="2"/>
  <c r="C16" i="1"/>
  <c r="E16" i="1"/>
  <c r="E15" i="1" s="1"/>
  <c r="E14" i="1" s="1"/>
  <c r="F16" i="1"/>
  <c r="G16" i="1"/>
  <c r="G15" i="1" s="1"/>
  <c r="G14" i="1" s="1"/>
  <c r="H16" i="1"/>
  <c r="I16" i="1"/>
  <c r="I15" i="1" s="1"/>
  <c r="I14" i="1" s="1"/>
  <c r="M16" i="1"/>
  <c r="P16" i="1"/>
  <c r="Q16" i="1"/>
  <c r="Q15" i="1" s="1"/>
  <c r="Q14" i="1" s="1"/>
  <c r="S16" i="1"/>
  <c r="S15" i="1" s="1"/>
  <c r="S14" i="1" s="1"/>
  <c r="T16" i="1"/>
  <c r="T15" i="1" s="1"/>
  <c r="U16" i="1"/>
  <c r="U15" i="1" s="1"/>
  <c r="Z16" i="1"/>
  <c r="AE16" i="1"/>
  <c r="AG16" i="1"/>
  <c r="AG15" i="1" s="1"/>
  <c r="AG14" i="1" s="1"/>
  <c r="AI16" i="1"/>
  <c r="AI15" i="1" s="1"/>
  <c r="D17" i="1"/>
  <c r="L17" i="1"/>
  <c r="O17" i="1" s="1"/>
  <c r="R17" i="1"/>
  <c r="X17" i="1" s="1"/>
  <c r="AD17" i="1"/>
  <c r="AH17" i="1"/>
  <c r="D18" i="1"/>
  <c r="L18" i="1"/>
  <c r="O18" i="1" s="1"/>
  <c r="R18" i="1"/>
  <c r="X18" i="1" s="1"/>
  <c r="AD18" i="1"/>
  <c r="AH18" i="1"/>
  <c r="D19" i="1"/>
  <c r="L19" i="1"/>
  <c r="O19" i="1" s="1"/>
  <c r="R19" i="1"/>
  <c r="X19" i="1" s="1"/>
  <c r="AD19" i="1"/>
  <c r="AH19" i="1"/>
  <c r="C20" i="1"/>
  <c r="D20" i="1" s="1"/>
  <c r="F20" i="1"/>
  <c r="L20" i="1"/>
  <c r="N20" i="1" s="1"/>
  <c r="R20" i="1"/>
  <c r="D21" i="1"/>
  <c r="L21" i="1"/>
  <c r="N21" i="1" s="1"/>
  <c r="R21" i="1"/>
  <c r="D22" i="1"/>
  <c r="L22" i="1"/>
  <c r="N22" i="1" s="1"/>
  <c r="R22" i="1"/>
  <c r="L23" i="1"/>
  <c r="N23" i="1" s="1"/>
  <c r="R23" i="1"/>
  <c r="L24" i="1"/>
  <c r="N24" i="1" s="1"/>
  <c r="R24" i="1"/>
  <c r="D25" i="1"/>
  <c r="L25" i="1"/>
  <c r="N25" i="1" s="1"/>
  <c r="R25" i="1"/>
  <c r="D26" i="1"/>
  <c r="L26" i="1"/>
  <c r="N26" i="1" s="1"/>
  <c r="R26" i="1"/>
  <c r="D27" i="1"/>
  <c r="L27" i="1"/>
  <c r="N27" i="1" s="1"/>
  <c r="R27" i="1"/>
  <c r="L28" i="1"/>
  <c r="N28" i="1" s="1"/>
  <c r="R28" i="1"/>
  <c r="C29" i="1"/>
  <c r="D29" i="1" s="1"/>
  <c r="H29" i="1"/>
  <c r="L29" i="1"/>
  <c r="N29" i="1" s="1"/>
  <c r="P29" i="1"/>
  <c r="R29" i="1" s="1"/>
  <c r="X29" i="1" s="1"/>
  <c r="Z29" i="1"/>
  <c r="AD29" i="1" s="1"/>
  <c r="AE29" i="1"/>
  <c r="D30" i="1"/>
  <c r="L30" i="1"/>
  <c r="N30" i="1" s="1"/>
  <c r="R30" i="1"/>
  <c r="X30" i="1" s="1"/>
  <c r="AD30" i="1"/>
  <c r="AH30" i="1"/>
  <c r="D31" i="1"/>
  <c r="N31" i="1"/>
  <c r="O31" i="1"/>
  <c r="R31" i="1"/>
  <c r="X31" i="1" s="1"/>
  <c r="AD31" i="1"/>
  <c r="AE31" i="1"/>
  <c r="AH31" i="1" s="1"/>
  <c r="D32" i="1"/>
  <c r="L32" i="1"/>
  <c r="N32" i="1" s="1"/>
  <c r="R32" i="1"/>
  <c r="X32" i="1" s="1"/>
  <c r="AD32" i="1"/>
  <c r="AH32" i="1"/>
  <c r="D33" i="1"/>
  <c r="L33" i="1"/>
  <c r="N33" i="1" s="1"/>
  <c r="R33" i="1"/>
  <c r="X33" i="1" s="1"/>
  <c r="AD33" i="1"/>
  <c r="AF33" i="1"/>
  <c r="AF29" i="1" s="1"/>
  <c r="L34" i="1"/>
  <c r="N34" i="1" s="1"/>
  <c r="R34" i="1"/>
  <c r="X34" i="1" s="1"/>
  <c r="AD34" i="1"/>
  <c r="AE34" i="1"/>
  <c r="AH34" i="1" s="1"/>
  <c r="D35" i="1"/>
  <c r="L35" i="1"/>
  <c r="N35" i="1" s="1"/>
  <c r="R35" i="1"/>
  <c r="T35" i="1"/>
  <c r="U35" i="1"/>
  <c r="AD35" i="1"/>
  <c r="AE35" i="1"/>
  <c r="D36" i="1"/>
  <c r="L36" i="1"/>
  <c r="O36" i="1" s="1"/>
  <c r="R36" i="1"/>
  <c r="X36" i="1" s="1"/>
  <c r="AD36" i="1"/>
  <c r="AF36" i="1"/>
  <c r="AH36" i="1" s="1"/>
  <c r="H37" i="1"/>
  <c r="L37" i="1"/>
  <c r="O37" i="1" s="1"/>
  <c r="P37" i="1"/>
  <c r="R37" i="1" s="1"/>
  <c r="X37" i="1" s="1"/>
  <c r="Z37" i="1"/>
  <c r="AD37" i="1" s="1"/>
  <c r="AI37" i="1"/>
  <c r="D38" i="1"/>
  <c r="L38" i="1"/>
  <c r="O38" i="1" s="1"/>
  <c r="R38" i="1"/>
  <c r="X38" i="1" s="1"/>
  <c r="AD38" i="1"/>
  <c r="AH38" i="1"/>
  <c r="D39" i="1"/>
  <c r="L39" i="1"/>
  <c r="O39" i="1" s="1"/>
  <c r="R39" i="1"/>
  <c r="X39" i="1" s="1"/>
  <c r="AD39" i="1"/>
  <c r="AH39" i="1"/>
  <c r="C40" i="1"/>
  <c r="D40" i="1" s="1"/>
  <c r="L40" i="1"/>
  <c r="N40" i="1" s="1"/>
  <c r="R40" i="1"/>
  <c r="AE40" i="1"/>
  <c r="AH40" i="1" s="1"/>
  <c r="D41" i="1"/>
  <c r="L41" i="1"/>
  <c r="N41" i="1" s="1"/>
  <c r="R41" i="1"/>
  <c r="AH41" i="1"/>
  <c r="L42" i="1"/>
  <c r="N42" i="1" s="1"/>
  <c r="R42" i="1"/>
  <c r="AE42" i="1"/>
  <c r="D43" i="1"/>
  <c r="L43" i="1"/>
  <c r="N43" i="1" s="1"/>
  <c r="R43" i="1"/>
  <c r="AE43" i="1"/>
  <c r="L44" i="1"/>
  <c r="N44" i="1" s="1"/>
  <c r="R44" i="1"/>
  <c r="AE44" i="1"/>
  <c r="L45" i="1"/>
  <c r="N45" i="1" s="1"/>
  <c r="R45" i="1"/>
  <c r="AE45" i="1"/>
  <c r="D46" i="1"/>
  <c r="L46" i="1"/>
  <c r="N46" i="1" s="1"/>
  <c r="R46" i="1"/>
  <c r="AE46" i="1"/>
  <c r="D47" i="1"/>
  <c r="L47" i="1"/>
  <c r="N47" i="1" s="1"/>
  <c r="R47" i="1"/>
  <c r="AE47" i="1"/>
  <c r="D62" i="1"/>
  <c r="G62" i="1"/>
  <c r="H62" i="1"/>
  <c r="I62" i="1" s="1"/>
  <c r="L62" i="1" s="1"/>
  <c r="Q62" i="1"/>
  <c r="R62" i="1" s="1"/>
  <c r="X62" i="1" s="1"/>
  <c r="Z62" i="1"/>
  <c r="AD62" i="1" s="1"/>
  <c r="AE62" i="1"/>
  <c r="AG62" i="1"/>
  <c r="C63" i="1"/>
  <c r="G63" i="1" s="1"/>
  <c r="H63" i="1"/>
  <c r="I63" i="1" s="1"/>
  <c r="L63" i="1" s="1"/>
  <c r="Q63" i="1"/>
  <c r="R63" i="1" s="1"/>
  <c r="X63" i="1" s="1"/>
  <c r="Z63" i="1"/>
  <c r="AD63" i="1" s="1"/>
  <c r="AH63" i="1"/>
  <c r="D64" i="1"/>
  <c r="G64" i="1"/>
  <c r="I64" i="1"/>
  <c r="L64" i="1" s="1"/>
  <c r="N64" i="1" s="1"/>
  <c r="Q64" i="1"/>
  <c r="R64" i="1" s="1"/>
  <c r="X64" i="1" s="1"/>
  <c r="Z64" i="1"/>
  <c r="AD64" i="1" s="1"/>
  <c r="AH64" i="1"/>
  <c r="D65" i="1"/>
  <c r="G65" i="1"/>
  <c r="H65" i="1"/>
  <c r="I65" i="1" s="1"/>
  <c r="L65" i="1" s="1"/>
  <c r="Q65" i="1"/>
  <c r="R65" i="1" s="1"/>
  <c r="X65" i="1" s="1"/>
  <c r="Z65" i="1"/>
  <c r="AD65" i="1" s="1"/>
  <c r="AH65" i="1"/>
  <c r="D66" i="1"/>
  <c r="Z66" i="1" s="1"/>
  <c r="AD66" i="1" s="1"/>
  <c r="G66" i="1"/>
  <c r="H66" i="1"/>
  <c r="L66" i="1"/>
  <c r="O66" i="1" s="1"/>
  <c r="Q66" i="1"/>
  <c r="R66" i="1" s="1"/>
  <c r="X66" i="1" s="1"/>
  <c r="AH66" i="1"/>
  <c r="D67" i="1"/>
  <c r="G67" i="1"/>
  <c r="H67" i="1"/>
  <c r="L67" i="1"/>
  <c r="N67" i="1" s="1"/>
  <c r="Q67" i="1"/>
  <c r="R67" i="1" s="1"/>
  <c r="X67" i="1" s="1"/>
  <c r="Z67" i="1"/>
  <c r="AD67" i="1" s="1"/>
  <c r="AE67" i="1"/>
  <c r="AH67" i="1" s="1"/>
  <c r="D68" i="1"/>
  <c r="G68" i="1"/>
  <c r="H68" i="1"/>
  <c r="L68" i="1"/>
  <c r="O68" i="1" s="1"/>
  <c r="Q68" i="1"/>
  <c r="R68" i="1" s="1"/>
  <c r="X68" i="1" s="1"/>
  <c r="Z68" i="1"/>
  <c r="AD68" i="1" s="1"/>
  <c r="AH68" i="1"/>
  <c r="D69" i="1"/>
  <c r="Z69" i="1" s="1"/>
  <c r="G69" i="1"/>
  <c r="I69" i="1"/>
  <c r="L69" i="1" s="1"/>
  <c r="Q69" i="1"/>
  <c r="R69" i="1" s="1"/>
  <c r="X69" i="1" s="1"/>
  <c r="AE69" i="1"/>
  <c r="AH69" i="1" s="1"/>
  <c r="D70" i="1"/>
  <c r="G70" i="1"/>
  <c r="H70" i="1"/>
  <c r="L70" i="1"/>
  <c r="O70" i="1" s="1"/>
  <c r="Q70" i="1"/>
  <c r="R70" i="1" s="1"/>
  <c r="X70" i="1" s="1"/>
  <c r="Z70" i="1"/>
  <c r="AD70" i="1" s="1"/>
  <c r="AH70" i="1"/>
  <c r="C71" i="1"/>
  <c r="H71" i="1"/>
  <c r="L71" i="1"/>
  <c r="Q71" i="1"/>
  <c r="R71" i="1" s="1"/>
  <c r="T71" i="1"/>
  <c r="Z71" i="1"/>
  <c r="AD71" i="1" s="1"/>
  <c r="AE71" i="1"/>
  <c r="AH71" i="1" s="1"/>
  <c r="D72" i="1"/>
  <c r="Z72" i="1" s="1"/>
  <c r="AD72" i="1" s="1"/>
  <c r="G72" i="1"/>
  <c r="H72" i="1"/>
  <c r="L72" i="1"/>
  <c r="O72" i="1" s="1"/>
  <c r="Q72" i="1"/>
  <c r="R72" i="1" s="1"/>
  <c r="T72" i="1"/>
  <c r="AH72" i="1"/>
  <c r="C73" i="1"/>
  <c r="D73" i="1" s="1"/>
  <c r="H73" i="1"/>
  <c r="L73" i="1"/>
  <c r="N73" i="1" s="1"/>
  <c r="Q73" i="1"/>
  <c r="R73" i="1" s="1"/>
  <c r="T73" i="1"/>
  <c r="Z73" i="1"/>
  <c r="AD73" i="1" s="1"/>
  <c r="AH73" i="1"/>
  <c r="D74" i="1"/>
  <c r="G74" i="1"/>
  <c r="H74" i="1"/>
  <c r="L74" i="1"/>
  <c r="Q74" i="1"/>
  <c r="R74" i="1" s="1"/>
  <c r="X74" i="1" s="1"/>
  <c r="Z74" i="1"/>
  <c r="AD74" i="1" s="1"/>
  <c r="AE74" i="1"/>
  <c r="AH74" i="1" s="1"/>
  <c r="AI74" i="1"/>
  <c r="D75" i="1"/>
  <c r="G75" i="1"/>
  <c r="H75" i="1"/>
  <c r="L75" i="1"/>
  <c r="O75" i="1" s="1"/>
  <c r="Q75" i="1"/>
  <c r="R75" i="1" s="1"/>
  <c r="X75" i="1" s="1"/>
  <c r="Z75" i="1"/>
  <c r="AD75" i="1" s="1"/>
  <c r="AH75" i="1"/>
  <c r="D76" i="1"/>
  <c r="G76" i="1"/>
  <c r="H76" i="1"/>
  <c r="I76" i="1" s="1"/>
  <c r="J76" i="1" s="1"/>
  <c r="Q76" i="1"/>
  <c r="R76" i="1" s="1"/>
  <c r="X76" i="1" s="1"/>
  <c r="Z76" i="1"/>
  <c r="AD76" i="1" s="1"/>
  <c r="AE76" i="1"/>
  <c r="AH76" i="1" s="1"/>
  <c r="AI76" i="1"/>
  <c r="D77" i="1"/>
  <c r="G77" i="1"/>
  <c r="H77" i="1"/>
  <c r="L77" i="1"/>
  <c r="N77" i="1" s="1"/>
  <c r="Q77" i="1"/>
  <c r="R77" i="1" s="1"/>
  <c r="X77" i="1" s="1"/>
  <c r="Z77" i="1"/>
  <c r="AD77" i="1" s="1"/>
  <c r="AE77" i="1"/>
  <c r="AH77" i="1" s="1"/>
  <c r="D78" i="1"/>
  <c r="G78" i="1"/>
  <c r="H78" i="1"/>
  <c r="L78" i="1"/>
  <c r="O78" i="1" s="1"/>
  <c r="Q78" i="1"/>
  <c r="R78" i="1" s="1"/>
  <c r="X78" i="1" s="1"/>
  <c r="Z78" i="1"/>
  <c r="AD78" i="1" s="1"/>
  <c r="AH78" i="1"/>
  <c r="AI78" i="1"/>
  <c r="C79" i="1"/>
  <c r="D79" i="1" s="1"/>
  <c r="H79" i="1"/>
  <c r="I79" i="1" s="1"/>
  <c r="L79" i="1" s="1"/>
  <c r="O79" i="1" s="1"/>
  <c r="Q79" i="1"/>
  <c r="R79" i="1" s="1"/>
  <c r="X79" i="1" s="1"/>
  <c r="Z79" i="1"/>
  <c r="AD79" i="1" s="1"/>
  <c r="AH79" i="1"/>
  <c r="D80" i="1"/>
  <c r="G80" i="1"/>
  <c r="H80" i="1"/>
  <c r="I80" i="1" s="1"/>
  <c r="L80" i="1" s="1"/>
  <c r="O80" i="1" s="1"/>
  <c r="Q80" i="1"/>
  <c r="R80" i="1" s="1"/>
  <c r="X80" i="1" s="1"/>
  <c r="Z80" i="1"/>
  <c r="AD80" i="1" s="1"/>
  <c r="AH80" i="1"/>
  <c r="C81" i="1"/>
  <c r="G81" i="1" s="1"/>
  <c r="H81" i="1"/>
  <c r="L81" i="1"/>
  <c r="O81" i="1" s="1"/>
  <c r="Q81" i="1"/>
  <c r="R81" i="1" s="1"/>
  <c r="X81" i="1" s="1"/>
  <c r="Z81" i="1"/>
  <c r="AD81" i="1" s="1"/>
  <c r="AE81" i="1"/>
  <c r="AH81" i="1" s="1"/>
  <c r="C82" i="1"/>
  <c r="D82" i="1" s="1"/>
  <c r="H82" i="1"/>
  <c r="I82" i="1" s="1"/>
  <c r="L82" i="1" s="1"/>
  <c r="O82" i="1" s="1"/>
  <c r="Q82" i="1"/>
  <c r="R82" i="1" s="1"/>
  <c r="X82" i="1" s="1"/>
  <c r="Z82" i="1"/>
  <c r="AD82" i="1" s="1"/>
  <c r="AE82" i="1"/>
  <c r="AH82" i="1" s="1"/>
  <c r="D83" i="1"/>
  <c r="G83" i="1"/>
  <c r="H83" i="1"/>
  <c r="L83" i="1"/>
  <c r="N83" i="1" s="1"/>
  <c r="Q83" i="1"/>
  <c r="R83" i="1" s="1"/>
  <c r="X83" i="1" s="1"/>
  <c r="Z83" i="1"/>
  <c r="AD83" i="1" s="1"/>
  <c r="AH83" i="1"/>
  <c r="D84" i="1"/>
  <c r="G84" i="1"/>
  <c r="H84" i="1"/>
  <c r="L84" i="1"/>
  <c r="N84" i="1" s="1"/>
  <c r="Q84" i="1"/>
  <c r="R84" i="1" s="1"/>
  <c r="X84" i="1" s="1"/>
  <c r="Z84" i="1"/>
  <c r="AD84" i="1" s="1"/>
  <c r="AE84" i="1"/>
  <c r="AH84" i="1" s="1"/>
  <c r="D85" i="1"/>
  <c r="G85" i="1"/>
  <c r="H85" i="1"/>
  <c r="L85" i="1"/>
  <c r="N85" i="1" s="1"/>
  <c r="Q85" i="1"/>
  <c r="R85" i="1" s="1"/>
  <c r="X85" i="1" s="1"/>
  <c r="Z85" i="1"/>
  <c r="AD85" i="1" s="1"/>
  <c r="AE85" i="1"/>
  <c r="AH85" i="1" s="1"/>
  <c r="D86" i="1"/>
  <c r="G86" i="1"/>
  <c r="H86" i="1"/>
  <c r="L86" i="1"/>
  <c r="N86" i="1" s="1"/>
  <c r="Q86" i="1"/>
  <c r="R86" i="1" s="1"/>
  <c r="X86" i="1" s="1"/>
  <c r="Z86" i="1"/>
  <c r="AD86" i="1" s="1"/>
  <c r="AE86" i="1"/>
  <c r="AH86" i="1" s="1"/>
  <c r="D87" i="1"/>
  <c r="G87" i="1"/>
  <c r="H87" i="1"/>
  <c r="L87" i="1"/>
  <c r="N87" i="1" s="1"/>
  <c r="Q87" i="1"/>
  <c r="R87" i="1" s="1"/>
  <c r="X87" i="1" s="1"/>
  <c r="Z87" i="1"/>
  <c r="AD87" i="1" s="1"/>
  <c r="AH87" i="1"/>
  <c r="AI87" i="1"/>
  <c r="D88" i="1"/>
  <c r="G88" i="1"/>
  <c r="H88" i="1"/>
  <c r="L88" i="1"/>
  <c r="N88" i="1" s="1"/>
  <c r="Q88" i="1"/>
  <c r="R88" i="1" s="1"/>
  <c r="X88" i="1" s="1"/>
  <c r="Z88" i="1"/>
  <c r="AD88" i="1" s="1"/>
  <c r="AH88" i="1"/>
  <c r="D89" i="1"/>
  <c r="G89" i="1"/>
  <c r="H89" i="1"/>
  <c r="L89" i="1"/>
  <c r="O89" i="1" s="1"/>
  <c r="Q89" i="1"/>
  <c r="R89" i="1" s="1"/>
  <c r="X89" i="1" s="1"/>
  <c r="Z89" i="1"/>
  <c r="AD89" i="1" s="1"/>
  <c r="AE89" i="1"/>
  <c r="AH89" i="1" s="1"/>
  <c r="D90" i="1"/>
  <c r="G90" i="1"/>
  <c r="H90" i="1"/>
  <c r="L90" i="1"/>
  <c r="N90" i="1" s="1"/>
  <c r="Q90" i="1"/>
  <c r="R90" i="1" s="1"/>
  <c r="X90" i="1" s="1"/>
  <c r="Z90" i="1"/>
  <c r="AD90" i="1" s="1"/>
  <c r="AE90" i="1"/>
  <c r="AH90" i="1" s="1"/>
  <c r="D91" i="1"/>
  <c r="G91" i="1"/>
  <c r="H91" i="1"/>
  <c r="I91" i="1" s="1"/>
  <c r="L91" i="1" s="1"/>
  <c r="Q91" i="1"/>
  <c r="R91" i="1" s="1"/>
  <c r="X91" i="1" s="1"/>
  <c r="Z91" i="1"/>
  <c r="AD91" i="1" s="1"/>
  <c r="AE91" i="1"/>
  <c r="AH91" i="1" s="1"/>
  <c r="D92" i="1"/>
  <c r="G92" i="1"/>
  <c r="H92" i="1"/>
  <c r="L92" i="1"/>
  <c r="O92" i="1" s="1"/>
  <c r="Q92" i="1"/>
  <c r="R92" i="1" s="1"/>
  <c r="X92" i="1" s="1"/>
  <c r="Z92" i="1"/>
  <c r="AD92" i="1" s="1"/>
  <c r="AH92" i="1"/>
  <c r="D93" i="1"/>
  <c r="G93" i="1"/>
  <c r="H93" i="1"/>
  <c r="L93" i="1"/>
  <c r="O93" i="1" s="1"/>
  <c r="Q93" i="1"/>
  <c r="R93" i="1" s="1"/>
  <c r="X93" i="1" s="1"/>
  <c r="Z93" i="1"/>
  <c r="AD93" i="1" s="1"/>
  <c r="AH93" i="1"/>
  <c r="D94" i="1"/>
  <c r="Z94" i="1" s="1"/>
  <c r="AD94" i="1" s="1"/>
  <c r="G94" i="1"/>
  <c r="H94" i="1"/>
  <c r="L94" i="1"/>
  <c r="N94" i="1" s="1"/>
  <c r="Q94" i="1"/>
  <c r="R94" i="1" s="1"/>
  <c r="T94" i="1" s="1"/>
  <c r="AH94" i="1"/>
  <c r="D95" i="1"/>
  <c r="G95" i="1"/>
  <c r="H95" i="1"/>
  <c r="L95" i="1"/>
  <c r="N95" i="1" s="1"/>
  <c r="Q95" i="1"/>
  <c r="R95" i="1" s="1"/>
  <c r="X95" i="1" s="1"/>
  <c r="Z95" i="1"/>
  <c r="AD95" i="1" s="1"/>
  <c r="AE95" i="1"/>
  <c r="AH95" i="1" s="1"/>
  <c r="D96" i="1"/>
  <c r="G96" i="1"/>
  <c r="H96" i="1"/>
  <c r="L96" i="1"/>
  <c r="N96" i="1" s="1"/>
  <c r="Q96" i="1"/>
  <c r="R96" i="1" s="1"/>
  <c r="X96" i="1" s="1"/>
  <c r="Z96" i="1"/>
  <c r="AD96" i="1" s="1"/>
  <c r="AH96" i="1"/>
  <c r="X97" i="1"/>
  <c r="Z97" i="1"/>
  <c r="AD97" i="1" s="1"/>
  <c r="AH97" i="1"/>
  <c r="X98" i="1"/>
  <c r="AD98" i="1"/>
  <c r="AH98" i="1"/>
  <c r="D99" i="1"/>
  <c r="Z99" i="1" s="1"/>
  <c r="AD99" i="1" s="1"/>
  <c r="G99" i="1"/>
  <c r="H99" i="1"/>
  <c r="L99" i="1"/>
  <c r="N99" i="1" s="1"/>
  <c r="Q99" i="1"/>
  <c r="R99" i="1" s="1"/>
  <c r="X99" i="1" s="1"/>
  <c r="AH99" i="1"/>
  <c r="AI99" i="1"/>
  <c r="D100" i="1"/>
  <c r="Z100" i="1" s="1"/>
  <c r="AD100" i="1" s="1"/>
  <c r="G100" i="1"/>
  <c r="H100" i="1"/>
  <c r="L100" i="1"/>
  <c r="N100" i="1" s="1"/>
  <c r="Q100" i="1"/>
  <c r="R100" i="1" s="1"/>
  <c r="X100" i="1" s="1"/>
  <c r="AH100" i="1"/>
  <c r="AI100" i="1"/>
  <c r="D101" i="1"/>
  <c r="G101" i="1"/>
  <c r="H101" i="1"/>
  <c r="L101" i="1"/>
  <c r="N101" i="1" s="1"/>
  <c r="Q101" i="1"/>
  <c r="R101" i="1" s="1"/>
  <c r="X101" i="1" s="1"/>
  <c r="Z101" i="1"/>
  <c r="AD101" i="1" s="1"/>
  <c r="AH101" i="1"/>
  <c r="AI101" i="1"/>
  <c r="D102" i="1"/>
  <c r="G102" i="1"/>
  <c r="H102" i="1"/>
  <c r="L102" i="1"/>
  <c r="N102" i="1" s="1"/>
  <c r="Q102" i="1"/>
  <c r="R102" i="1" s="1"/>
  <c r="X102" i="1" s="1"/>
  <c r="Z102" i="1"/>
  <c r="AD102" i="1" s="1"/>
  <c r="AH102" i="1"/>
  <c r="AI102" i="1"/>
  <c r="D103" i="1"/>
  <c r="G103" i="1"/>
  <c r="H103" i="1"/>
  <c r="L103" i="1"/>
  <c r="N103" i="1" s="1"/>
  <c r="Q103" i="1"/>
  <c r="R103" i="1" s="1"/>
  <c r="X103" i="1" s="1"/>
  <c r="Z103" i="1"/>
  <c r="AD103" i="1" s="1"/>
  <c r="AH103" i="1"/>
  <c r="D104" i="1"/>
  <c r="G104" i="1"/>
  <c r="H104" i="1"/>
  <c r="L104" i="1"/>
  <c r="O104" i="1" s="1"/>
  <c r="Q104" i="1"/>
  <c r="R104" i="1" s="1"/>
  <c r="X104" i="1" s="1"/>
  <c r="Z104" i="1"/>
  <c r="AD104" i="1" s="1"/>
  <c r="AE104" i="1"/>
  <c r="AF104" i="1"/>
  <c r="D105" i="1"/>
  <c r="G105" i="1"/>
  <c r="H105" i="1"/>
  <c r="L105" i="1"/>
  <c r="N105" i="1" s="1"/>
  <c r="Q105" i="1"/>
  <c r="R105" i="1" s="1"/>
  <c r="X105" i="1" s="1"/>
  <c r="Z105" i="1"/>
  <c r="AD105" i="1" s="1"/>
  <c r="AE105" i="1"/>
  <c r="AH105" i="1" s="1"/>
  <c r="D106" i="1"/>
  <c r="G106" i="1"/>
  <c r="I106" i="1"/>
  <c r="L106" i="1" s="1"/>
  <c r="N106" i="1" s="1"/>
  <c r="Q106" i="1"/>
  <c r="R106" i="1" s="1"/>
  <c r="X106" i="1" s="1"/>
  <c r="Z106" i="1"/>
  <c r="AD106" i="1" s="1"/>
  <c r="AH106" i="1"/>
  <c r="AI106" i="1"/>
  <c r="D107" i="1"/>
  <c r="G107" i="1"/>
  <c r="H107" i="1"/>
  <c r="L107" i="1"/>
  <c r="N107" i="1" s="1"/>
  <c r="Q107" i="1"/>
  <c r="R107" i="1" s="1"/>
  <c r="AD107" i="1"/>
  <c r="AH107" i="1"/>
  <c r="D108" i="1"/>
  <c r="G108" i="1"/>
  <c r="H108" i="1"/>
  <c r="L108" i="1"/>
  <c r="N108" i="1" s="1"/>
  <c r="Q108" i="1"/>
  <c r="R108" i="1" s="1"/>
  <c r="T108" i="1"/>
  <c r="AC108" i="1"/>
  <c r="AD108" i="1" s="1"/>
  <c r="AE108" i="1"/>
  <c r="AH108" i="1" s="1"/>
  <c r="AI108" i="1"/>
  <c r="D109" i="1"/>
  <c r="Z109" i="1" s="1"/>
  <c r="AD109" i="1" s="1"/>
  <c r="G109" i="1"/>
  <c r="H109" i="1"/>
  <c r="L109" i="1"/>
  <c r="N109" i="1" s="1"/>
  <c r="Q109" i="1"/>
  <c r="R109" i="1" s="1"/>
  <c r="X109" i="1" s="1"/>
  <c r="AH109" i="1"/>
  <c r="D110" i="1"/>
  <c r="Z110" i="1" s="1"/>
  <c r="AD110" i="1" s="1"/>
  <c r="G110" i="1"/>
  <c r="H110" i="1"/>
  <c r="L110" i="1"/>
  <c r="O110" i="1" s="1"/>
  <c r="Q110" i="1"/>
  <c r="R110" i="1" s="1"/>
  <c r="X110" i="1" s="1"/>
  <c r="AH110" i="1"/>
  <c r="C111" i="1"/>
  <c r="E111" i="1"/>
  <c r="E277" i="1" s="1"/>
  <c r="F111" i="1"/>
  <c r="F277" i="1" s="1"/>
  <c r="X111" i="1"/>
  <c r="Z111" i="1"/>
  <c r="AD111" i="1" s="1"/>
  <c r="AE111" i="1"/>
  <c r="AH111" i="1" s="1"/>
  <c r="D112" i="1"/>
  <c r="G112" i="1"/>
  <c r="H112" i="1"/>
  <c r="L112" i="1"/>
  <c r="O112" i="1" s="1"/>
  <c r="Q112" i="1"/>
  <c r="R112" i="1" s="1"/>
  <c r="X112" i="1" s="1"/>
  <c r="AD112" i="1"/>
  <c r="AH112" i="1"/>
  <c r="D113" i="1"/>
  <c r="G113" i="1"/>
  <c r="H113" i="1"/>
  <c r="L113" i="1"/>
  <c r="O113" i="1" s="1"/>
  <c r="Q113" i="1"/>
  <c r="R113" i="1" s="1"/>
  <c r="X113" i="1" s="1"/>
  <c r="AD113" i="1"/>
  <c r="AH113" i="1"/>
  <c r="D114" i="1"/>
  <c r="G114" i="1"/>
  <c r="H114" i="1"/>
  <c r="L114" i="1"/>
  <c r="O114" i="1" s="1"/>
  <c r="Q114" i="1"/>
  <c r="R114" i="1" s="1"/>
  <c r="X114" i="1" s="1"/>
  <c r="AD114" i="1"/>
  <c r="AH114" i="1"/>
  <c r="D115" i="1"/>
  <c r="G115" i="1"/>
  <c r="H115" i="1"/>
  <c r="L115" i="1"/>
  <c r="O115" i="1" s="1"/>
  <c r="Q115" i="1"/>
  <c r="R115" i="1" s="1"/>
  <c r="X115" i="1" s="1"/>
  <c r="AD115" i="1"/>
  <c r="AH115" i="1"/>
  <c r="D116" i="1"/>
  <c r="Z116" i="1" s="1"/>
  <c r="AD116" i="1" s="1"/>
  <c r="G116" i="1"/>
  <c r="H116" i="1"/>
  <c r="L116" i="1"/>
  <c r="N116" i="1" s="1"/>
  <c r="Q116" i="1"/>
  <c r="R116" i="1" s="1"/>
  <c r="X116" i="1" s="1"/>
  <c r="AH116" i="1"/>
  <c r="AI116" i="1"/>
  <c r="D117" i="1"/>
  <c r="Z117" i="1" s="1"/>
  <c r="AD117" i="1" s="1"/>
  <c r="G117" i="1"/>
  <c r="H117" i="1"/>
  <c r="L117" i="1"/>
  <c r="O117" i="1" s="1"/>
  <c r="Q117" i="1"/>
  <c r="R117" i="1" s="1"/>
  <c r="AH117" i="1"/>
  <c r="D118" i="1"/>
  <c r="G118" i="1"/>
  <c r="H118" i="1"/>
  <c r="L118" i="1"/>
  <c r="N118" i="1" s="1"/>
  <c r="Q118" i="1"/>
  <c r="R118" i="1" s="1"/>
  <c r="X118" i="1" s="1"/>
  <c r="Z118" i="1"/>
  <c r="AD118" i="1" s="1"/>
  <c r="AH118" i="1"/>
  <c r="D119" i="1"/>
  <c r="Z119" i="1" s="1"/>
  <c r="AD119" i="1" s="1"/>
  <c r="G119" i="1"/>
  <c r="H119" i="1"/>
  <c r="L119" i="1"/>
  <c r="N119" i="1" s="1"/>
  <c r="Q119" i="1"/>
  <c r="R119" i="1" s="1"/>
  <c r="X119" i="1" s="1"/>
  <c r="AH119" i="1"/>
  <c r="AI119" i="1"/>
  <c r="D120" i="1"/>
  <c r="G120" i="1"/>
  <c r="L120" i="1"/>
  <c r="N120" i="1" s="1"/>
  <c r="Q120" i="1"/>
  <c r="R120" i="1" s="1"/>
  <c r="X120" i="1" s="1"/>
  <c r="Z120" i="1"/>
  <c r="AD120" i="1" s="1"/>
  <c r="AH120" i="1"/>
  <c r="D121" i="1"/>
  <c r="Z121" i="1" s="1"/>
  <c r="AD121" i="1" s="1"/>
  <c r="G121" i="1"/>
  <c r="H121" i="1"/>
  <c r="L121" i="1"/>
  <c r="Q121" i="1"/>
  <c r="R121" i="1" s="1"/>
  <c r="X121" i="1" s="1"/>
  <c r="AH121" i="1"/>
  <c r="AI121" i="1"/>
  <c r="H122" i="1"/>
  <c r="L122" i="1"/>
  <c r="Q122" i="1"/>
  <c r="R122" i="1" s="1"/>
  <c r="X122" i="1" s="1"/>
  <c r="Z122" i="1"/>
  <c r="AD122" i="1" s="1"/>
  <c r="AH122" i="1"/>
  <c r="AI122" i="1"/>
  <c r="L123" i="1"/>
  <c r="O123" i="1" s="1"/>
  <c r="Q123" i="1"/>
  <c r="R123" i="1" s="1"/>
  <c r="X123" i="1" s="1"/>
  <c r="Z123" i="1"/>
  <c r="AD123" i="1" s="1"/>
  <c r="AH123" i="1"/>
  <c r="L124" i="1"/>
  <c r="N124" i="1" s="1"/>
  <c r="Q124" i="1"/>
  <c r="R124" i="1" s="1"/>
  <c r="X124" i="1" s="1"/>
  <c r="Z124" i="1"/>
  <c r="AD124" i="1" s="1"/>
  <c r="AH124" i="1"/>
  <c r="D125" i="1"/>
  <c r="G125" i="1"/>
  <c r="H125" i="1"/>
  <c r="L125" i="1"/>
  <c r="N125" i="1" s="1"/>
  <c r="Q125" i="1"/>
  <c r="R125" i="1" s="1"/>
  <c r="X125" i="1" s="1"/>
  <c r="AA125" i="1"/>
  <c r="AD125" i="1" s="1"/>
  <c r="AE125" i="1"/>
  <c r="AF125" i="1"/>
  <c r="AG125" i="1"/>
  <c r="AI125" i="1"/>
  <c r="D126" i="1"/>
  <c r="Z126" i="1" s="1"/>
  <c r="AD126" i="1" s="1"/>
  <c r="G126" i="1"/>
  <c r="H126" i="1"/>
  <c r="I126" i="1" s="1"/>
  <c r="L126" i="1" s="1"/>
  <c r="Q126" i="1"/>
  <c r="R126" i="1" s="1"/>
  <c r="X126" i="1" s="1"/>
  <c r="AH126" i="1"/>
  <c r="D127" i="1"/>
  <c r="G127" i="1"/>
  <c r="H127" i="1"/>
  <c r="L127" i="1"/>
  <c r="N127" i="1" s="1"/>
  <c r="Q127" i="1"/>
  <c r="R127" i="1" s="1"/>
  <c r="X127" i="1" s="1"/>
  <c r="AD127" i="1"/>
  <c r="AH127" i="1"/>
  <c r="U129" i="1"/>
  <c r="X129" i="1" s="1"/>
  <c r="Z129" i="1"/>
  <c r="AA129" i="1"/>
  <c r="AH129" i="1"/>
  <c r="D130" i="1"/>
  <c r="G130" i="1"/>
  <c r="H130" i="1"/>
  <c r="L130" i="1"/>
  <c r="N130" i="1" s="1"/>
  <c r="Q130" i="1"/>
  <c r="R130" i="1" s="1"/>
  <c r="X130" i="1" s="1"/>
  <c r="Z130" i="1"/>
  <c r="AD130" i="1" s="1"/>
  <c r="AH130" i="1"/>
  <c r="AI130" i="1"/>
  <c r="D131" i="1"/>
  <c r="G131" i="1"/>
  <c r="H131" i="1"/>
  <c r="L131" i="1"/>
  <c r="Q131" i="1"/>
  <c r="R131" i="1" s="1"/>
  <c r="X131" i="1" s="1"/>
  <c r="Z131" i="1"/>
  <c r="AD131" i="1" s="1"/>
  <c r="AH131" i="1"/>
  <c r="AI131" i="1"/>
  <c r="D132" i="1"/>
  <c r="G132" i="1"/>
  <c r="H132" i="1"/>
  <c r="L132" i="1"/>
  <c r="N132" i="1" s="1"/>
  <c r="Q132" i="1"/>
  <c r="R132" i="1" s="1"/>
  <c r="X132" i="1" s="1"/>
  <c r="Z132" i="1"/>
  <c r="AD132" i="1" s="1"/>
  <c r="AH132" i="1"/>
  <c r="D133" i="1"/>
  <c r="G133" i="1"/>
  <c r="H133" i="1"/>
  <c r="L133" i="1"/>
  <c r="O133" i="1" s="1"/>
  <c r="Q133" i="1"/>
  <c r="R133" i="1" s="1"/>
  <c r="X133" i="1" s="1"/>
  <c r="Z133" i="1"/>
  <c r="AD133" i="1" s="1"/>
  <c r="AE133" i="1"/>
  <c r="AH133" i="1" s="1"/>
  <c r="D134" i="1"/>
  <c r="G134" i="1"/>
  <c r="H134" i="1"/>
  <c r="L134" i="1"/>
  <c r="O134" i="1" s="1"/>
  <c r="Q134" i="1"/>
  <c r="R134" i="1" s="1"/>
  <c r="X134" i="1" s="1"/>
  <c r="Z134" i="1"/>
  <c r="AD134" i="1" s="1"/>
  <c r="AH134" i="1"/>
  <c r="D135" i="1"/>
  <c r="G135" i="1"/>
  <c r="H135" i="1"/>
  <c r="L135" i="1"/>
  <c r="N135" i="1" s="1"/>
  <c r="Q135" i="1"/>
  <c r="R135" i="1" s="1"/>
  <c r="X135" i="1" s="1"/>
  <c r="Z135" i="1"/>
  <c r="AD135" i="1" s="1"/>
  <c r="AH135" i="1"/>
  <c r="D136" i="1"/>
  <c r="G136" i="1"/>
  <c r="H136" i="1"/>
  <c r="L136" i="1"/>
  <c r="O136" i="1" s="1"/>
  <c r="Q136" i="1"/>
  <c r="R136" i="1" s="1"/>
  <c r="X136" i="1" s="1"/>
  <c r="Z136" i="1"/>
  <c r="AD136" i="1" s="1"/>
  <c r="AH136" i="1"/>
  <c r="D137" i="1"/>
  <c r="G137" i="1"/>
  <c r="H137" i="1"/>
  <c r="L137" i="1"/>
  <c r="Q137" i="1"/>
  <c r="R137" i="1" s="1"/>
  <c r="X137" i="1" s="1"/>
  <c r="Z137" i="1"/>
  <c r="AD137" i="1" s="1"/>
  <c r="AF137" i="1"/>
  <c r="AH137" i="1" s="1"/>
  <c r="D138" i="1"/>
  <c r="G138" i="1"/>
  <c r="H138" i="1"/>
  <c r="L138" i="1"/>
  <c r="N138" i="1" s="1"/>
  <c r="Q138" i="1"/>
  <c r="R138" i="1" s="1"/>
  <c r="S138" i="1"/>
  <c r="Z138" i="1"/>
  <c r="AD138" i="1" s="1"/>
  <c r="AH138" i="1"/>
  <c r="D139" i="1"/>
  <c r="G139" i="1"/>
  <c r="H139" i="1"/>
  <c r="L139" i="1"/>
  <c r="O139" i="1" s="1"/>
  <c r="Q139" i="1"/>
  <c r="R139" i="1" s="1"/>
  <c r="X139" i="1" s="1"/>
  <c r="Z139" i="1"/>
  <c r="AD139" i="1" s="1"/>
  <c r="AE139" i="1"/>
  <c r="AH139" i="1" s="1"/>
  <c r="D140" i="1"/>
  <c r="G140" i="1"/>
  <c r="H140" i="1"/>
  <c r="L140" i="1"/>
  <c r="N140" i="1" s="1"/>
  <c r="Q140" i="1"/>
  <c r="R140" i="1" s="1"/>
  <c r="X140" i="1" s="1"/>
  <c r="Z140" i="1"/>
  <c r="AD140" i="1" s="1"/>
  <c r="AE140" i="1"/>
  <c r="AH140" i="1" s="1"/>
  <c r="C141" i="1"/>
  <c r="H141" i="1"/>
  <c r="L141" i="1"/>
  <c r="Q141" i="1"/>
  <c r="R141" i="1" s="1"/>
  <c r="X141" i="1" s="1"/>
  <c r="Z141" i="1"/>
  <c r="AD141" i="1" s="1"/>
  <c r="AH141" i="1"/>
  <c r="D142" i="1"/>
  <c r="G142" i="1"/>
  <c r="H142" i="1"/>
  <c r="L142" i="1"/>
  <c r="O142" i="1" s="1"/>
  <c r="Q142" i="1"/>
  <c r="R142" i="1" s="1"/>
  <c r="X142" i="1" s="1"/>
  <c r="Z142" i="1"/>
  <c r="AD142" i="1" s="1"/>
  <c r="AH142" i="1"/>
  <c r="D143" i="1"/>
  <c r="G143" i="1"/>
  <c r="H143" i="1"/>
  <c r="L143" i="1"/>
  <c r="N143" i="1" s="1"/>
  <c r="Q143" i="1"/>
  <c r="R143" i="1" s="1"/>
  <c r="X143" i="1" s="1"/>
  <c r="Z143" i="1"/>
  <c r="AD143" i="1" s="1"/>
  <c r="AE143" i="1"/>
  <c r="AH143" i="1" s="1"/>
  <c r="D144" i="1"/>
  <c r="G144" i="1"/>
  <c r="H144" i="1"/>
  <c r="L144" i="1"/>
  <c r="Q144" i="1"/>
  <c r="R144" i="1" s="1"/>
  <c r="X144" i="1" s="1"/>
  <c r="Z144" i="1"/>
  <c r="AD144" i="1" s="1"/>
  <c r="AH144" i="1"/>
  <c r="AI144" i="1"/>
  <c r="D145" i="1"/>
  <c r="G145" i="1"/>
  <c r="H145" i="1"/>
  <c r="L145" i="1"/>
  <c r="O145" i="1" s="1"/>
  <c r="Q145" i="1"/>
  <c r="R145" i="1" s="1"/>
  <c r="X145" i="1" s="1"/>
  <c r="Z145" i="1"/>
  <c r="AD145" i="1" s="1"/>
  <c r="AE145" i="1"/>
  <c r="AH145" i="1" s="1"/>
  <c r="C146" i="1"/>
  <c r="G146" i="1" s="1"/>
  <c r="H146" i="1"/>
  <c r="L146" i="1"/>
  <c r="O146" i="1" s="1"/>
  <c r="Q146" i="1"/>
  <c r="R146" i="1" s="1"/>
  <c r="X146" i="1" s="1"/>
  <c r="Z146" i="1"/>
  <c r="AD146" i="1" s="1"/>
  <c r="AE146" i="1"/>
  <c r="AH146" i="1" s="1"/>
  <c r="D147" i="1"/>
  <c r="G147" i="1"/>
  <c r="H147" i="1"/>
  <c r="L147" i="1"/>
  <c r="O147" i="1" s="1"/>
  <c r="Q147" i="1"/>
  <c r="R147" i="1" s="1"/>
  <c r="X147" i="1" s="1"/>
  <c r="Z147" i="1"/>
  <c r="AD147" i="1" s="1"/>
  <c r="AH147" i="1"/>
  <c r="C148" i="1"/>
  <c r="D148" i="1" s="1"/>
  <c r="H148" i="1"/>
  <c r="L148" i="1"/>
  <c r="N148" i="1" s="1"/>
  <c r="Q148" i="1"/>
  <c r="R148" i="1" s="1"/>
  <c r="X148" i="1" s="1"/>
  <c r="Z148" i="1"/>
  <c r="AD148" i="1" s="1"/>
  <c r="AE148" i="1"/>
  <c r="AF148" i="1"/>
  <c r="AI148" i="1"/>
  <c r="D149" i="1"/>
  <c r="G149" i="1"/>
  <c r="H149" i="1"/>
  <c r="L149" i="1"/>
  <c r="N149" i="1" s="1"/>
  <c r="Q149" i="1"/>
  <c r="R149" i="1" s="1"/>
  <c r="X149" i="1" s="1"/>
  <c r="Z149" i="1"/>
  <c r="AD149" i="1" s="1"/>
  <c r="AH149" i="1"/>
  <c r="C150" i="1"/>
  <c r="G150" i="1" s="1"/>
  <c r="H150" i="1"/>
  <c r="L150" i="1"/>
  <c r="O150" i="1" s="1"/>
  <c r="Q150" i="1"/>
  <c r="R150" i="1" s="1"/>
  <c r="X150" i="1" s="1"/>
  <c r="Z150" i="1"/>
  <c r="AD150" i="1" s="1"/>
  <c r="AH150" i="1"/>
  <c r="AI150" i="1"/>
  <c r="D151" i="1"/>
  <c r="G151" i="1"/>
  <c r="H151" i="1"/>
  <c r="L151" i="1"/>
  <c r="N151" i="1" s="1"/>
  <c r="Q151" i="1"/>
  <c r="R151" i="1" s="1"/>
  <c r="X151" i="1" s="1"/>
  <c r="Z151" i="1"/>
  <c r="AD151" i="1" s="1"/>
  <c r="AE151" i="1"/>
  <c r="AH151" i="1" s="1"/>
  <c r="D152" i="1"/>
  <c r="G152" i="1"/>
  <c r="H152" i="1"/>
  <c r="L152" i="1"/>
  <c r="O152" i="1" s="1"/>
  <c r="Q152" i="1"/>
  <c r="R152" i="1" s="1"/>
  <c r="S152" i="1"/>
  <c r="Z152" i="1"/>
  <c r="AD152" i="1" s="1"/>
  <c r="AG152" i="1"/>
  <c r="AH152" i="1" s="1"/>
  <c r="C153" i="1"/>
  <c r="G153" i="1" s="1"/>
  <c r="H153" i="1"/>
  <c r="L153" i="1"/>
  <c r="Q153" i="1"/>
  <c r="R153" i="1" s="1"/>
  <c r="X153" i="1" s="1"/>
  <c r="Z153" i="1"/>
  <c r="AD153" i="1" s="1"/>
  <c r="AG153" i="1"/>
  <c r="AH153" i="1" s="1"/>
  <c r="AI153" i="1"/>
  <c r="D154" i="1"/>
  <c r="G154" i="1"/>
  <c r="H154" i="1"/>
  <c r="L154" i="1"/>
  <c r="O154" i="1" s="1"/>
  <c r="Q154" i="1"/>
  <c r="R154" i="1" s="1"/>
  <c r="X154" i="1" s="1"/>
  <c r="Z154" i="1"/>
  <c r="AD154" i="1" s="1"/>
  <c r="AH154" i="1"/>
  <c r="AI154" i="1"/>
  <c r="D155" i="1"/>
  <c r="G155" i="1"/>
  <c r="H155" i="1"/>
  <c r="L155" i="1"/>
  <c r="N155" i="1" s="1"/>
  <c r="Q155" i="1"/>
  <c r="R155" i="1" s="1"/>
  <c r="X155" i="1" s="1"/>
  <c r="Z155" i="1"/>
  <c r="AD155" i="1" s="1"/>
  <c r="AE155" i="1"/>
  <c r="AH155" i="1" s="1"/>
  <c r="D156" i="1"/>
  <c r="P156" i="1" s="1"/>
  <c r="Q156" i="1" s="1"/>
  <c r="R156" i="1" s="1"/>
  <c r="X156" i="1" s="1"/>
  <c r="G156" i="1"/>
  <c r="H156" i="1"/>
  <c r="L156" i="1"/>
  <c r="O156" i="1" s="1"/>
  <c r="Z156" i="1"/>
  <c r="AD156" i="1" s="1"/>
  <c r="AE156" i="1"/>
  <c r="AH156" i="1" s="1"/>
  <c r="D157" i="1"/>
  <c r="P157" i="1" s="1"/>
  <c r="Q157" i="1" s="1"/>
  <c r="R157" i="1" s="1"/>
  <c r="X157" i="1" s="1"/>
  <c r="G157" i="1"/>
  <c r="H157" i="1"/>
  <c r="L157" i="1"/>
  <c r="O157" i="1" s="1"/>
  <c r="Z157" i="1"/>
  <c r="AD157" i="1" s="1"/>
  <c r="AE157" i="1"/>
  <c r="AH157" i="1" s="1"/>
  <c r="D158" i="1"/>
  <c r="G158" i="1"/>
  <c r="H158" i="1"/>
  <c r="I158" i="1" s="1"/>
  <c r="L158" i="1" s="1"/>
  <c r="Q158" i="1"/>
  <c r="R158" i="1" s="1"/>
  <c r="X158" i="1" s="1"/>
  <c r="Z158" i="1"/>
  <c r="AD158" i="1" s="1"/>
  <c r="AE158" i="1"/>
  <c r="AH158" i="1" s="1"/>
  <c r="C159" i="1"/>
  <c r="G159" i="1" s="1"/>
  <c r="H159" i="1"/>
  <c r="I159" i="1" s="1"/>
  <c r="J159" i="1" s="1"/>
  <c r="J277" i="1" s="1"/>
  <c r="Q159" i="1"/>
  <c r="R159" i="1" s="1"/>
  <c r="X159" i="1" s="1"/>
  <c r="Z159" i="1"/>
  <c r="AD159" i="1" s="1"/>
  <c r="AE159" i="1"/>
  <c r="AH159" i="1" s="1"/>
  <c r="D160" i="1"/>
  <c r="G160" i="1"/>
  <c r="H160" i="1"/>
  <c r="I160" i="1" s="1"/>
  <c r="L160" i="1" s="1"/>
  <c r="O160" i="1" s="1"/>
  <c r="Q160" i="1"/>
  <c r="R160" i="1" s="1"/>
  <c r="X160" i="1" s="1"/>
  <c r="Z160" i="1"/>
  <c r="AD160" i="1" s="1"/>
  <c r="AH160" i="1"/>
  <c r="X161" i="1"/>
  <c r="Z161" i="1"/>
  <c r="AD161" i="1" s="1"/>
  <c r="AH161" i="1"/>
  <c r="D162" i="1"/>
  <c r="G162" i="1"/>
  <c r="H162" i="1"/>
  <c r="L162" i="1"/>
  <c r="N162" i="1" s="1"/>
  <c r="Q162" i="1"/>
  <c r="R162" i="1" s="1"/>
  <c r="X162" i="1" s="1"/>
  <c r="Z162" i="1"/>
  <c r="AD162" i="1" s="1"/>
  <c r="AH162" i="1"/>
  <c r="AI162" i="1"/>
  <c r="AD163" i="1"/>
  <c r="AH163" i="1"/>
  <c r="AI163" i="1"/>
  <c r="D164" i="1"/>
  <c r="G164" i="1"/>
  <c r="H164" i="1"/>
  <c r="I164" i="1" s="1"/>
  <c r="L164" i="1" s="1"/>
  <c r="Q164" i="1"/>
  <c r="R164" i="1" s="1"/>
  <c r="X164" i="1" s="1"/>
  <c r="Z164" i="1"/>
  <c r="AD164" i="1" s="1"/>
  <c r="AH164" i="1"/>
  <c r="AI164" i="1"/>
  <c r="D165" i="1"/>
  <c r="G165" i="1"/>
  <c r="H165" i="1"/>
  <c r="I165" i="1" s="1"/>
  <c r="L165" i="1" s="1"/>
  <c r="O165" i="1" s="1"/>
  <c r="Q165" i="1"/>
  <c r="R165" i="1" s="1"/>
  <c r="X165" i="1" s="1"/>
  <c r="Z165" i="1"/>
  <c r="AA165" i="1"/>
  <c r="AH165" i="1"/>
  <c r="AI165" i="1"/>
  <c r="D166" i="1"/>
  <c r="G166" i="1"/>
  <c r="H166" i="1"/>
  <c r="I166" i="1" s="1"/>
  <c r="L166" i="1" s="1"/>
  <c r="Q166" i="1"/>
  <c r="R166" i="1" s="1"/>
  <c r="X166" i="1" s="1"/>
  <c r="Z166" i="1"/>
  <c r="AD166" i="1" s="1"/>
  <c r="AE166" i="1"/>
  <c r="AH166" i="1" s="1"/>
  <c r="AI166" i="1"/>
  <c r="C167" i="1"/>
  <c r="H167" i="1"/>
  <c r="I167" i="1" s="1"/>
  <c r="L167" i="1" s="1"/>
  <c r="Q167" i="1"/>
  <c r="R167" i="1" s="1"/>
  <c r="X167" i="1" s="1"/>
  <c r="Z167" i="1"/>
  <c r="AD167" i="1" s="1"/>
  <c r="AE167" i="1"/>
  <c r="AH167" i="1" s="1"/>
  <c r="D168" i="1"/>
  <c r="G168" i="1"/>
  <c r="H168" i="1"/>
  <c r="I168" i="1" s="1"/>
  <c r="L168" i="1" s="1"/>
  <c r="Q168" i="1"/>
  <c r="R168" i="1" s="1"/>
  <c r="X168" i="1" s="1"/>
  <c r="Z168" i="1"/>
  <c r="AD168" i="1" s="1"/>
  <c r="AE168" i="1"/>
  <c r="AH168" i="1" s="1"/>
  <c r="D169" i="1"/>
  <c r="G169" i="1"/>
  <c r="H169" i="1"/>
  <c r="I169" i="1" s="1"/>
  <c r="L169" i="1" s="1"/>
  <c r="Q169" i="1"/>
  <c r="R169" i="1" s="1"/>
  <c r="X169" i="1" s="1"/>
  <c r="Z169" i="1"/>
  <c r="AD169" i="1" s="1"/>
  <c r="AH169" i="1"/>
  <c r="D170" i="1"/>
  <c r="G170" i="1"/>
  <c r="H170" i="1"/>
  <c r="L170" i="1"/>
  <c r="Q170" i="1"/>
  <c r="R170" i="1" s="1"/>
  <c r="X170" i="1" s="1"/>
  <c r="Z170" i="1"/>
  <c r="AD170" i="1" s="1"/>
  <c r="AE170" i="1"/>
  <c r="AH170" i="1" s="1"/>
  <c r="D171" i="1"/>
  <c r="Z171" i="1" s="1"/>
  <c r="AD171" i="1" s="1"/>
  <c r="G171" i="1"/>
  <c r="H171" i="1"/>
  <c r="L171" i="1"/>
  <c r="N171" i="1" s="1"/>
  <c r="Q171" i="1"/>
  <c r="R171" i="1" s="1"/>
  <c r="X171" i="1" s="1"/>
  <c r="AH171" i="1"/>
  <c r="D172" i="1"/>
  <c r="G172" i="1"/>
  <c r="H172" i="1"/>
  <c r="I172" i="1" s="1"/>
  <c r="L172" i="1" s="1"/>
  <c r="Q172" i="1"/>
  <c r="R172" i="1" s="1"/>
  <c r="X172" i="1" s="1"/>
  <c r="Z172" i="1"/>
  <c r="AD172" i="1" s="1"/>
  <c r="AH172" i="1"/>
  <c r="D173" i="1"/>
  <c r="G173" i="1"/>
  <c r="H173" i="1"/>
  <c r="I173" i="1" s="1"/>
  <c r="L173" i="1" s="1"/>
  <c r="N173" i="1" s="1"/>
  <c r="Q173" i="1"/>
  <c r="R173" i="1" s="1"/>
  <c r="X173" i="1" s="1"/>
  <c r="Z173" i="1"/>
  <c r="AD173" i="1" s="1"/>
  <c r="AH173" i="1"/>
  <c r="D174" i="1"/>
  <c r="G174" i="1"/>
  <c r="H174" i="1"/>
  <c r="L174" i="1"/>
  <c r="O174" i="1" s="1"/>
  <c r="Q174" i="1"/>
  <c r="R174" i="1" s="1"/>
  <c r="X174" i="1" s="1"/>
  <c r="Z174" i="1"/>
  <c r="AD174" i="1" s="1"/>
  <c r="AE174" i="1"/>
  <c r="AH174" i="1" s="1"/>
  <c r="D175" i="1"/>
  <c r="G175" i="1"/>
  <c r="H175" i="1"/>
  <c r="L175" i="1"/>
  <c r="O175" i="1" s="1"/>
  <c r="Q175" i="1"/>
  <c r="R175" i="1" s="1"/>
  <c r="X175" i="1" s="1"/>
  <c r="Z175" i="1"/>
  <c r="AD175" i="1" s="1"/>
  <c r="AE175" i="1"/>
  <c r="AH175" i="1" s="1"/>
  <c r="D176" i="1"/>
  <c r="G176" i="1"/>
  <c r="H176" i="1"/>
  <c r="I176" i="1" s="1"/>
  <c r="L176" i="1" s="1"/>
  <c r="Q176" i="1"/>
  <c r="R176" i="1" s="1"/>
  <c r="X176" i="1" s="1"/>
  <c r="Z176" i="1"/>
  <c r="AD176" i="1" s="1"/>
  <c r="AH176" i="1"/>
  <c r="AI176" i="1"/>
  <c r="D177" i="1"/>
  <c r="G177" i="1"/>
  <c r="H177" i="1"/>
  <c r="I177" i="1" s="1"/>
  <c r="L177" i="1" s="1"/>
  <c r="Q177" i="1"/>
  <c r="R177" i="1" s="1"/>
  <c r="X177" i="1" s="1"/>
  <c r="Z177" i="1"/>
  <c r="AD177" i="1" s="1"/>
  <c r="AH177" i="1"/>
  <c r="AI177" i="1"/>
  <c r="D178" i="1"/>
  <c r="G178" i="1"/>
  <c r="H178" i="1"/>
  <c r="I178" i="1"/>
  <c r="L178" i="1" s="1"/>
  <c r="Q178" i="1"/>
  <c r="R178" i="1" s="1"/>
  <c r="X178" i="1" s="1"/>
  <c r="Z178" i="1"/>
  <c r="AD178" i="1" s="1"/>
  <c r="AH178" i="1"/>
  <c r="AI178" i="1"/>
  <c r="D179" i="1"/>
  <c r="G179" i="1"/>
  <c r="H179" i="1"/>
  <c r="L179" i="1"/>
  <c r="O179" i="1" s="1"/>
  <c r="Q179" i="1"/>
  <c r="R179" i="1" s="1"/>
  <c r="X179" i="1" s="1"/>
  <c r="Z179" i="1"/>
  <c r="AD179" i="1" s="1"/>
  <c r="AH179" i="1"/>
  <c r="D180" i="1"/>
  <c r="G180" i="1"/>
  <c r="H180" i="1"/>
  <c r="L180" i="1"/>
  <c r="O180" i="1" s="1"/>
  <c r="Q180" i="1"/>
  <c r="R180" i="1" s="1"/>
  <c r="X180" i="1" s="1"/>
  <c r="Z180" i="1"/>
  <c r="AD180" i="1" s="1"/>
  <c r="AE180" i="1"/>
  <c r="AI180" i="1"/>
  <c r="D181" i="1"/>
  <c r="G181" i="1"/>
  <c r="H181" i="1"/>
  <c r="I181" i="1" s="1"/>
  <c r="L181" i="1" s="1"/>
  <c r="Q181" i="1"/>
  <c r="R181" i="1" s="1"/>
  <c r="X181" i="1" s="1"/>
  <c r="Z181" i="1"/>
  <c r="AD181" i="1" s="1"/>
  <c r="AH181" i="1"/>
  <c r="D182" i="1"/>
  <c r="G182" i="1"/>
  <c r="H182" i="1"/>
  <c r="L182" i="1"/>
  <c r="O182" i="1" s="1"/>
  <c r="Q182" i="1"/>
  <c r="R182" i="1" s="1"/>
  <c r="X182" i="1" s="1"/>
  <c r="Z182" i="1"/>
  <c r="AD182" i="1" s="1"/>
  <c r="AH182" i="1"/>
  <c r="D183" i="1"/>
  <c r="G183" i="1"/>
  <c r="H183" i="1"/>
  <c r="L183" i="1"/>
  <c r="N183" i="1" s="1"/>
  <c r="Q183" i="1"/>
  <c r="R183" i="1" s="1"/>
  <c r="X183" i="1" s="1"/>
  <c r="Z183" i="1"/>
  <c r="AD183" i="1" s="1"/>
  <c r="AF183" i="1"/>
  <c r="AH183" i="1" s="1"/>
  <c r="AI183" i="1"/>
  <c r="D184" i="1"/>
  <c r="G184" i="1"/>
  <c r="H184" i="1"/>
  <c r="L184" i="1"/>
  <c r="N184" i="1" s="1"/>
  <c r="Q184" i="1"/>
  <c r="R184" i="1" s="1"/>
  <c r="X184" i="1" s="1"/>
  <c r="Z184" i="1"/>
  <c r="AD184" i="1" s="1"/>
  <c r="AE184" i="1"/>
  <c r="AH184" i="1" s="1"/>
  <c r="D185" i="1"/>
  <c r="G185" i="1"/>
  <c r="H185" i="1"/>
  <c r="L185" i="1"/>
  <c r="Q185" i="1"/>
  <c r="R185" i="1" s="1"/>
  <c r="X185" i="1" s="1"/>
  <c r="Z185" i="1"/>
  <c r="AD185" i="1" s="1"/>
  <c r="AE185" i="1"/>
  <c r="AH185" i="1" s="1"/>
  <c r="D186" i="1"/>
  <c r="G186" i="1"/>
  <c r="H186" i="1"/>
  <c r="L186" i="1"/>
  <c r="N186" i="1" s="1"/>
  <c r="Q186" i="1"/>
  <c r="R186" i="1" s="1"/>
  <c r="X186" i="1" s="1"/>
  <c r="Z186" i="1"/>
  <c r="AD186" i="1" s="1"/>
  <c r="AE186" i="1"/>
  <c r="AH186" i="1" s="1"/>
  <c r="D187" i="1"/>
  <c r="G187" i="1"/>
  <c r="H187" i="1"/>
  <c r="L187" i="1"/>
  <c r="Q187" i="1"/>
  <c r="R187" i="1" s="1"/>
  <c r="X187" i="1" s="1"/>
  <c r="Z187" i="1"/>
  <c r="AD187" i="1" s="1"/>
  <c r="AF187" i="1"/>
  <c r="AH187" i="1" s="1"/>
  <c r="D188" i="1"/>
  <c r="G188" i="1"/>
  <c r="H188" i="1"/>
  <c r="L188" i="1"/>
  <c r="N188" i="1" s="1"/>
  <c r="Q188" i="1"/>
  <c r="R188" i="1" s="1"/>
  <c r="S188" i="1"/>
  <c r="Z188" i="1"/>
  <c r="AD188" i="1" s="1"/>
  <c r="AH188" i="1"/>
  <c r="AI188" i="1"/>
  <c r="D189" i="1"/>
  <c r="G189" i="1"/>
  <c r="H189" i="1"/>
  <c r="I189" i="1"/>
  <c r="L189" i="1" s="1"/>
  <c r="Q189" i="1"/>
  <c r="R189" i="1" s="1"/>
  <c r="X189" i="1" s="1"/>
  <c r="Z189" i="1"/>
  <c r="AD189" i="1" s="1"/>
  <c r="AH189" i="1"/>
  <c r="AI189" i="1"/>
  <c r="D190" i="1"/>
  <c r="G190" i="1"/>
  <c r="H190" i="1"/>
  <c r="L190" i="1"/>
  <c r="Q190" i="1"/>
  <c r="R190" i="1" s="1"/>
  <c r="X190" i="1" s="1"/>
  <c r="Z190" i="1"/>
  <c r="AD190" i="1" s="1"/>
  <c r="AH190" i="1"/>
  <c r="C191" i="1"/>
  <c r="G191" i="1" s="1"/>
  <c r="H191" i="1"/>
  <c r="I191" i="1" s="1"/>
  <c r="L191" i="1" s="1"/>
  <c r="Q191" i="1"/>
  <c r="R191" i="1" s="1"/>
  <c r="X191" i="1" s="1"/>
  <c r="Z191" i="1"/>
  <c r="AD191" i="1" s="1"/>
  <c r="AH191" i="1"/>
  <c r="D192" i="1"/>
  <c r="G192" i="1"/>
  <c r="H192" i="1"/>
  <c r="L192" i="1"/>
  <c r="N192" i="1" s="1"/>
  <c r="Q192" i="1"/>
  <c r="R192" i="1" s="1"/>
  <c r="X192" i="1" s="1"/>
  <c r="Z192" i="1"/>
  <c r="AC192" i="1"/>
  <c r="AI192" i="1"/>
  <c r="D193" i="1"/>
  <c r="G193" i="1"/>
  <c r="H193" i="1"/>
  <c r="L193" i="1"/>
  <c r="N193" i="1" s="1"/>
  <c r="Q193" i="1"/>
  <c r="R193" i="1" s="1"/>
  <c r="X193" i="1" s="1"/>
  <c r="Z193" i="1"/>
  <c r="AD193" i="1" s="1"/>
  <c r="AH193" i="1"/>
  <c r="D194" i="1"/>
  <c r="G194" i="1"/>
  <c r="H194" i="1"/>
  <c r="L194" i="1"/>
  <c r="N194" i="1" s="1"/>
  <c r="Q194" i="1"/>
  <c r="R194" i="1" s="1"/>
  <c r="X194" i="1" s="1"/>
  <c r="Z194" i="1"/>
  <c r="AD194" i="1" s="1"/>
  <c r="AH194" i="1"/>
  <c r="D195" i="1"/>
  <c r="G195" i="1"/>
  <c r="H195" i="1"/>
  <c r="L195" i="1"/>
  <c r="O195" i="1" s="1"/>
  <c r="Q195" i="1"/>
  <c r="R195" i="1" s="1"/>
  <c r="X195" i="1" s="1"/>
  <c r="Z195" i="1"/>
  <c r="AD195" i="1" s="1"/>
  <c r="AH195" i="1"/>
  <c r="D196" i="1"/>
  <c r="G196" i="1"/>
  <c r="H196" i="1"/>
  <c r="I196" i="1" s="1"/>
  <c r="L196" i="1" s="1"/>
  <c r="Q196" i="1"/>
  <c r="R196" i="1" s="1"/>
  <c r="X196" i="1" s="1"/>
  <c r="Z196" i="1"/>
  <c r="AD196" i="1" s="1"/>
  <c r="AH196" i="1"/>
  <c r="D197" i="1"/>
  <c r="G197" i="1"/>
  <c r="H197" i="1"/>
  <c r="L197" i="1"/>
  <c r="N197" i="1" s="1"/>
  <c r="Q197" i="1"/>
  <c r="R197" i="1" s="1"/>
  <c r="X197" i="1" s="1"/>
  <c r="Z197" i="1"/>
  <c r="AD197" i="1" s="1"/>
  <c r="AH197" i="1"/>
  <c r="D198" i="1"/>
  <c r="G198" i="1"/>
  <c r="H198" i="1"/>
  <c r="I198" i="1" s="1"/>
  <c r="L198" i="1" s="1"/>
  <c r="Q198" i="1"/>
  <c r="R198" i="1" s="1"/>
  <c r="S198" i="1"/>
  <c r="T198" i="1"/>
  <c r="Z198" i="1"/>
  <c r="AD198" i="1" s="1"/>
  <c r="AH198" i="1"/>
  <c r="D199" i="1"/>
  <c r="G199" i="1"/>
  <c r="H199" i="1"/>
  <c r="I199" i="1" s="1"/>
  <c r="L199" i="1" s="1"/>
  <c r="Q199" i="1"/>
  <c r="R199" i="1" s="1"/>
  <c r="S199" i="1"/>
  <c r="Z199" i="1"/>
  <c r="AD199" i="1" s="1"/>
  <c r="AE199" i="1"/>
  <c r="AH199" i="1" s="1"/>
  <c r="D200" i="1"/>
  <c r="G200" i="1"/>
  <c r="H200" i="1"/>
  <c r="I200" i="1" s="1"/>
  <c r="L200" i="1" s="1"/>
  <c r="Q200" i="1"/>
  <c r="R200" i="1" s="1"/>
  <c r="S200" i="1"/>
  <c r="Z200" i="1"/>
  <c r="AD200" i="1" s="1"/>
  <c r="AH200" i="1"/>
  <c r="D201" i="1"/>
  <c r="G201" i="1"/>
  <c r="H201" i="1"/>
  <c r="I201" i="1" s="1"/>
  <c r="L201" i="1" s="1"/>
  <c r="O201" i="1" s="1"/>
  <c r="Q201" i="1"/>
  <c r="R201" i="1" s="1"/>
  <c r="S201" i="1"/>
  <c r="T201" i="1"/>
  <c r="Z201" i="1"/>
  <c r="AD201" i="1" s="1"/>
  <c r="AH201" i="1"/>
  <c r="AI201" i="1"/>
  <c r="D202" i="1"/>
  <c r="G202" i="1"/>
  <c r="H202" i="1"/>
  <c r="L202" i="1"/>
  <c r="O202" i="1" s="1"/>
  <c r="Q202" i="1"/>
  <c r="R202" i="1" s="1"/>
  <c r="X202" i="1" s="1"/>
  <c r="Z202" i="1"/>
  <c r="AD202" i="1" s="1"/>
  <c r="AH202" i="1"/>
  <c r="AI202" i="1"/>
  <c r="D203" i="1"/>
  <c r="G203" i="1"/>
  <c r="H203" i="1"/>
  <c r="L203" i="1"/>
  <c r="N203" i="1" s="1"/>
  <c r="Q203" i="1"/>
  <c r="R203" i="1" s="1"/>
  <c r="X203" i="1" s="1"/>
  <c r="Z203" i="1"/>
  <c r="AD203" i="1" s="1"/>
  <c r="AE203" i="1"/>
  <c r="AH203" i="1" s="1"/>
  <c r="D204" i="1"/>
  <c r="G204" i="1"/>
  <c r="H204" i="1"/>
  <c r="L204" i="1"/>
  <c r="O204" i="1" s="1"/>
  <c r="Q204" i="1"/>
  <c r="R204" i="1" s="1"/>
  <c r="X204" i="1" s="1"/>
  <c r="Z204" i="1"/>
  <c r="AD204" i="1" s="1"/>
  <c r="AH204" i="1"/>
  <c r="AI204" i="1"/>
  <c r="D205" i="1"/>
  <c r="G205" i="1"/>
  <c r="H205" i="1"/>
  <c r="I205" i="1" s="1"/>
  <c r="L205" i="1" s="1"/>
  <c r="N205" i="1" s="1"/>
  <c r="Q205" i="1"/>
  <c r="R205" i="1" s="1"/>
  <c r="X205" i="1" s="1"/>
  <c r="Z205" i="1"/>
  <c r="AD205" i="1" s="1"/>
  <c r="AH205" i="1"/>
  <c r="D206" i="1"/>
  <c r="G206" i="1"/>
  <c r="H206" i="1"/>
  <c r="L206" i="1"/>
  <c r="N206" i="1" s="1"/>
  <c r="Q206" i="1"/>
  <c r="R206" i="1" s="1"/>
  <c r="X206" i="1" s="1"/>
  <c r="Z206" i="1"/>
  <c r="AD206" i="1" s="1"/>
  <c r="AH206" i="1"/>
  <c r="AI206" i="1"/>
  <c r="D207" i="1"/>
  <c r="G207" i="1"/>
  <c r="H207" i="1"/>
  <c r="L207" i="1"/>
  <c r="Q207" i="1"/>
  <c r="R207" i="1" s="1"/>
  <c r="X207" i="1" s="1"/>
  <c r="Z207" i="1"/>
  <c r="AD207" i="1" s="1"/>
  <c r="AH207" i="1"/>
  <c r="AI207" i="1"/>
  <c r="D208" i="1"/>
  <c r="G208" i="1"/>
  <c r="H208" i="1"/>
  <c r="L208" i="1"/>
  <c r="N208" i="1" s="1"/>
  <c r="Q208" i="1"/>
  <c r="R208" i="1" s="1"/>
  <c r="X208" i="1" s="1"/>
  <c r="Z208" i="1"/>
  <c r="AD208" i="1" s="1"/>
  <c r="AH208" i="1"/>
  <c r="D209" i="1"/>
  <c r="G209" i="1"/>
  <c r="H209" i="1"/>
  <c r="L209" i="1"/>
  <c r="O209" i="1" s="1"/>
  <c r="Q209" i="1"/>
  <c r="R209" i="1" s="1"/>
  <c r="X209" i="1" s="1"/>
  <c r="Z209" i="1"/>
  <c r="AD209" i="1" s="1"/>
  <c r="AH209" i="1"/>
  <c r="C210" i="1"/>
  <c r="G210" i="1" s="1"/>
  <c r="H210" i="1"/>
  <c r="L210" i="1"/>
  <c r="O210" i="1" s="1"/>
  <c r="Q210" i="1"/>
  <c r="R210" i="1" s="1"/>
  <c r="X210" i="1" s="1"/>
  <c r="Z210" i="1"/>
  <c r="AD210" i="1" s="1"/>
  <c r="AH210" i="1"/>
  <c r="AI210" i="1"/>
  <c r="C211" i="1"/>
  <c r="H211" i="1"/>
  <c r="L211" i="1"/>
  <c r="Q211" i="1"/>
  <c r="R211" i="1" s="1"/>
  <c r="X211" i="1" s="1"/>
  <c r="Z211" i="1"/>
  <c r="AD211" i="1" s="1"/>
  <c r="AH211" i="1"/>
  <c r="D212" i="1"/>
  <c r="G212" i="1"/>
  <c r="H212" i="1"/>
  <c r="L212" i="1"/>
  <c r="O212" i="1" s="1"/>
  <c r="Q212" i="1"/>
  <c r="R212" i="1" s="1"/>
  <c r="X212" i="1" s="1"/>
  <c r="Z212" i="1"/>
  <c r="AD212" i="1" s="1"/>
  <c r="AH212" i="1"/>
  <c r="AI212" i="1"/>
  <c r="D213" i="1"/>
  <c r="G213" i="1"/>
  <c r="H213" i="1"/>
  <c r="L213" i="1"/>
  <c r="O213" i="1" s="1"/>
  <c r="Q213" i="1"/>
  <c r="R213" i="1" s="1"/>
  <c r="X213" i="1" s="1"/>
  <c r="Z213" i="1"/>
  <c r="AD213" i="1" s="1"/>
  <c r="AE213" i="1"/>
  <c r="AF213" i="1"/>
  <c r="AI213" i="1"/>
  <c r="C214" i="1"/>
  <c r="H214" i="1"/>
  <c r="L214" i="1"/>
  <c r="Q214" i="1"/>
  <c r="R214" i="1" s="1"/>
  <c r="X214" i="1" s="1"/>
  <c r="Z214" i="1"/>
  <c r="AA214" i="1" s="1"/>
  <c r="AH214" i="1"/>
  <c r="D215" i="1"/>
  <c r="G215" i="1"/>
  <c r="H215" i="1"/>
  <c r="L215" i="1"/>
  <c r="N215" i="1" s="1"/>
  <c r="Q215" i="1"/>
  <c r="R215" i="1" s="1"/>
  <c r="X215" i="1" s="1"/>
  <c r="Z215" i="1"/>
  <c r="AD215" i="1" s="1"/>
  <c r="AH215" i="1"/>
  <c r="D216" i="1"/>
  <c r="G216" i="1"/>
  <c r="H216" i="1"/>
  <c r="I216" i="1" s="1"/>
  <c r="L216" i="1" s="1"/>
  <c r="Q216" i="1"/>
  <c r="R216" i="1" s="1"/>
  <c r="X216" i="1" s="1"/>
  <c r="Z216" i="1"/>
  <c r="AD216" i="1" s="1"/>
  <c r="AH216" i="1"/>
  <c r="D217" i="1"/>
  <c r="G217" i="1"/>
  <c r="H217" i="1"/>
  <c r="I217" i="1" s="1"/>
  <c r="L217" i="1" s="1"/>
  <c r="N217" i="1" s="1"/>
  <c r="Q217" i="1"/>
  <c r="R217" i="1" s="1"/>
  <c r="X217" i="1" s="1"/>
  <c r="Z217" i="1"/>
  <c r="AD217" i="1" s="1"/>
  <c r="AH217" i="1"/>
  <c r="D218" i="1"/>
  <c r="G218" i="1"/>
  <c r="H218" i="1"/>
  <c r="L218" i="1"/>
  <c r="N218" i="1" s="1"/>
  <c r="Q218" i="1"/>
  <c r="R218" i="1" s="1"/>
  <c r="X218" i="1" s="1"/>
  <c r="Z218" i="1"/>
  <c r="AD218" i="1" s="1"/>
  <c r="AE218" i="1"/>
  <c r="AH218" i="1" s="1"/>
  <c r="D219" i="1"/>
  <c r="G219" i="1"/>
  <c r="H219" i="1"/>
  <c r="L219" i="1"/>
  <c r="O219" i="1" s="1"/>
  <c r="Q219" i="1"/>
  <c r="R219" i="1" s="1"/>
  <c r="X219" i="1" s="1"/>
  <c r="Z219" i="1"/>
  <c r="AD219" i="1" s="1"/>
  <c r="AH219" i="1"/>
  <c r="D220" i="1"/>
  <c r="G220" i="1"/>
  <c r="H220" i="1"/>
  <c r="L220" i="1"/>
  <c r="N220" i="1" s="1"/>
  <c r="Q220" i="1"/>
  <c r="R220" i="1" s="1"/>
  <c r="X220" i="1" s="1"/>
  <c r="Z220" i="1"/>
  <c r="AD220" i="1" s="1"/>
  <c r="AH220" i="1"/>
  <c r="D221" i="1"/>
  <c r="G221" i="1"/>
  <c r="H221" i="1"/>
  <c r="L221" i="1"/>
  <c r="Q221" i="1"/>
  <c r="R221" i="1" s="1"/>
  <c r="X221" i="1" s="1"/>
  <c r="Z221" i="1"/>
  <c r="AD221" i="1" s="1"/>
  <c r="AH221" i="1"/>
  <c r="D222" i="1"/>
  <c r="G222" i="1"/>
  <c r="H222" i="1"/>
  <c r="L222" i="1"/>
  <c r="O222" i="1" s="1"/>
  <c r="Q222" i="1"/>
  <c r="R222" i="1" s="1"/>
  <c r="X222" i="1" s="1"/>
  <c r="Z222" i="1"/>
  <c r="AD222" i="1" s="1"/>
  <c r="AH222" i="1"/>
  <c r="D223" i="1"/>
  <c r="G223" i="1"/>
  <c r="H223" i="1"/>
  <c r="L223" i="1"/>
  <c r="N223" i="1" s="1"/>
  <c r="Q223" i="1"/>
  <c r="R223" i="1" s="1"/>
  <c r="X223" i="1" s="1"/>
  <c r="Z223" i="1"/>
  <c r="AD223" i="1" s="1"/>
  <c r="AH223" i="1"/>
  <c r="D224" i="1"/>
  <c r="G224" i="1"/>
  <c r="H224" i="1"/>
  <c r="L224" i="1"/>
  <c r="N224" i="1" s="1"/>
  <c r="Q224" i="1"/>
  <c r="R224" i="1" s="1"/>
  <c r="S224" i="1"/>
  <c r="Z224" i="1"/>
  <c r="AD224" i="1" s="1"/>
  <c r="AH224" i="1"/>
  <c r="AI224" i="1"/>
  <c r="D225" i="1"/>
  <c r="G225" i="1"/>
  <c r="H225" i="1"/>
  <c r="L225" i="1"/>
  <c r="N225" i="1" s="1"/>
  <c r="Q225" i="1"/>
  <c r="R225" i="1" s="1"/>
  <c r="S225" i="1"/>
  <c r="Z225" i="1"/>
  <c r="AD225" i="1" s="1"/>
  <c r="AH225" i="1"/>
  <c r="AI225" i="1"/>
  <c r="D226" i="1"/>
  <c r="G226" i="1"/>
  <c r="H226" i="1"/>
  <c r="I226" i="1" s="1"/>
  <c r="L226" i="1" s="1"/>
  <c r="N226" i="1" s="1"/>
  <c r="Q226" i="1"/>
  <c r="R226" i="1" s="1"/>
  <c r="X226" i="1" s="1"/>
  <c r="Z226" i="1"/>
  <c r="AD226" i="1" s="1"/>
  <c r="AH226" i="1"/>
  <c r="D227" i="1"/>
  <c r="G227" i="1"/>
  <c r="H227" i="1"/>
  <c r="L227" i="1"/>
  <c r="Q227" i="1"/>
  <c r="R227" i="1" s="1"/>
  <c r="X227" i="1" s="1"/>
  <c r="Z227" i="1"/>
  <c r="AD227" i="1" s="1"/>
  <c r="AH227" i="1"/>
  <c r="AI227" i="1"/>
  <c r="D228" i="1"/>
  <c r="G228" i="1"/>
  <c r="H228" i="1"/>
  <c r="I228" i="1" s="1"/>
  <c r="L228" i="1" s="1"/>
  <c r="Q228" i="1"/>
  <c r="R228" i="1" s="1"/>
  <c r="X228" i="1" s="1"/>
  <c r="Z228" i="1"/>
  <c r="AD228" i="1" s="1"/>
  <c r="AE228" i="1"/>
  <c r="AH228" i="1" s="1"/>
  <c r="D229" i="1"/>
  <c r="G229" i="1"/>
  <c r="H229" i="1"/>
  <c r="I229" i="1" s="1"/>
  <c r="L229" i="1" s="1"/>
  <c r="N229" i="1" s="1"/>
  <c r="Q229" i="1"/>
  <c r="R229" i="1" s="1"/>
  <c r="X229" i="1" s="1"/>
  <c r="Z229" i="1"/>
  <c r="AD229" i="1" s="1"/>
  <c r="AH229" i="1"/>
  <c r="AI229" i="1"/>
  <c r="C230" i="1"/>
  <c r="G230" i="1" s="1"/>
  <c r="H230" i="1"/>
  <c r="I230" i="1" s="1"/>
  <c r="K230" i="1"/>
  <c r="K277" i="1" s="1"/>
  <c r="Q230" i="1"/>
  <c r="R230" i="1" s="1"/>
  <c r="S230" i="1"/>
  <c r="T230" i="1"/>
  <c r="Z230" i="1"/>
  <c r="AD230" i="1" s="1"/>
  <c r="AE230" i="1"/>
  <c r="AH230" i="1" s="1"/>
  <c r="AI230" i="1"/>
  <c r="D231" i="1"/>
  <c r="G231" i="1"/>
  <c r="H231" i="1"/>
  <c r="L231" i="1"/>
  <c r="Q231" i="1"/>
  <c r="R231" i="1" s="1"/>
  <c r="X231" i="1" s="1"/>
  <c r="Z231" i="1"/>
  <c r="AD231" i="1" s="1"/>
  <c r="AH231" i="1"/>
  <c r="D232" i="1"/>
  <c r="G232" i="1"/>
  <c r="H232" i="1"/>
  <c r="L232" i="1"/>
  <c r="O232" i="1" s="1"/>
  <c r="Q232" i="1"/>
  <c r="R232" i="1" s="1"/>
  <c r="X232" i="1" s="1"/>
  <c r="Z232" i="1"/>
  <c r="AD232" i="1" s="1"/>
  <c r="AH232" i="1"/>
  <c r="D233" i="1"/>
  <c r="G233" i="1"/>
  <c r="H233" i="1"/>
  <c r="L233" i="1"/>
  <c r="N233" i="1" s="1"/>
  <c r="Q233" i="1"/>
  <c r="R233" i="1" s="1"/>
  <c r="X233" i="1" s="1"/>
  <c r="Z233" i="1"/>
  <c r="AD233" i="1" s="1"/>
  <c r="AH233" i="1"/>
  <c r="D234" i="1"/>
  <c r="G234" i="1"/>
  <c r="H234" i="1"/>
  <c r="L234" i="1"/>
  <c r="N234" i="1" s="1"/>
  <c r="Q234" i="1"/>
  <c r="R234" i="1" s="1"/>
  <c r="X234" i="1" s="1"/>
  <c r="Z234" i="1"/>
  <c r="AD234" i="1" s="1"/>
  <c r="AH234" i="1"/>
  <c r="D235" i="1"/>
  <c r="G235" i="1"/>
  <c r="H235" i="1"/>
  <c r="L235" i="1"/>
  <c r="N235" i="1" s="1"/>
  <c r="Q235" i="1"/>
  <c r="R235" i="1" s="1"/>
  <c r="X235" i="1" s="1"/>
  <c r="Z235" i="1"/>
  <c r="AD235" i="1" s="1"/>
  <c r="AH235" i="1"/>
  <c r="D236" i="1"/>
  <c r="G236" i="1"/>
  <c r="H236" i="1"/>
  <c r="L236" i="1"/>
  <c r="O236" i="1" s="1"/>
  <c r="Q236" i="1"/>
  <c r="R236" i="1" s="1"/>
  <c r="X236" i="1" s="1"/>
  <c r="Z236" i="1"/>
  <c r="AD236" i="1" s="1"/>
  <c r="AH236" i="1"/>
  <c r="D237" i="1"/>
  <c r="G237" i="1"/>
  <c r="H237" i="1"/>
  <c r="L237" i="1"/>
  <c r="N237" i="1" s="1"/>
  <c r="Q237" i="1"/>
  <c r="R237" i="1" s="1"/>
  <c r="X237" i="1" s="1"/>
  <c r="Z237" i="1"/>
  <c r="AD237" i="1" s="1"/>
  <c r="AH237" i="1"/>
  <c r="D238" i="1"/>
  <c r="G238" i="1"/>
  <c r="H238" i="1"/>
  <c r="L238" i="1"/>
  <c r="O238" i="1" s="1"/>
  <c r="Q238" i="1"/>
  <c r="R238" i="1" s="1"/>
  <c r="X238" i="1" s="1"/>
  <c r="Z238" i="1"/>
  <c r="AD238" i="1" s="1"/>
  <c r="AH238" i="1"/>
  <c r="D239" i="1"/>
  <c r="G239" i="1"/>
  <c r="H239" i="1"/>
  <c r="L239" i="1"/>
  <c r="N239" i="1" s="1"/>
  <c r="Q239" i="1"/>
  <c r="R239" i="1" s="1"/>
  <c r="X239" i="1" s="1"/>
  <c r="Z239" i="1"/>
  <c r="AD239" i="1" s="1"/>
  <c r="AH239" i="1"/>
  <c r="D240" i="1"/>
  <c r="G240" i="1"/>
  <c r="H240" i="1"/>
  <c r="L240" i="1"/>
  <c r="O240" i="1" s="1"/>
  <c r="Q240" i="1"/>
  <c r="R240" i="1" s="1"/>
  <c r="Z240" i="1"/>
  <c r="AD240" i="1" s="1"/>
  <c r="AH240" i="1"/>
  <c r="D241" i="1"/>
  <c r="G241" i="1"/>
  <c r="H241" i="1"/>
  <c r="I241" i="1" s="1"/>
  <c r="L241" i="1" s="1"/>
  <c r="Q241" i="1"/>
  <c r="R241" i="1" s="1"/>
  <c r="X241" i="1" s="1"/>
  <c r="Z241" i="1"/>
  <c r="AD241" i="1" s="1"/>
  <c r="AH241" i="1"/>
  <c r="AI241" i="1"/>
  <c r="D243" i="1"/>
  <c r="G243" i="1"/>
  <c r="H243" i="1"/>
  <c r="I243" i="1" s="1"/>
  <c r="L243" i="1" s="1"/>
  <c r="N243" i="1" s="1"/>
  <c r="Q243" i="1"/>
  <c r="R243" i="1" s="1"/>
  <c r="X243" i="1" s="1"/>
  <c r="Z243" i="1"/>
  <c r="AD243" i="1" s="1"/>
  <c r="AH243" i="1"/>
  <c r="D244" i="1"/>
  <c r="G244" i="1"/>
  <c r="H244" i="1"/>
  <c r="I244" i="1" s="1"/>
  <c r="Q244" i="1"/>
  <c r="R244" i="1" s="1"/>
  <c r="X244" i="1" s="1"/>
  <c r="Z244" i="1"/>
  <c r="AD244" i="1" s="1"/>
  <c r="AH244" i="1"/>
  <c r="D245" i="1"/>
  <c r="G245" i="1"/>
  <c r="H245" i="1"/>
  <c r="L245" i="1"/>
  <c r="O245" i="1" s="1"/>
  <c r="Q245" i="1"/>
  <c r="R245" i="1" s="1"/>
  <c r="X245" i="1" s="1"/>
  <c r="Z245" i="1"/>
  <c r="AD245" i="1" s="1"/>
  <c r="AH245" i="1"/>
  <c r="AI245" i="1"/>
  <c r="D246" i="1"/>
  <c r="Z246" i="1" s="1"/>
  <c r="AD246" i="1" s="1"/>
  <c r="G246" i="1"/>
  <c r="H246" i="1"/>
  <c r="L246" i="1"/>
  <c r="Q246" i="1"/>
  <c r="R246" i="1" s="1"/>
  <c r="X246" i="1" s="1"/>
  <c r="AH246" i="1"/>
  <c r="D247" i="1"/>
  <c r="G247" i="1"/>
  <c r="H247" i="1"/>
  <c r="L247" i="1"/>
  <c r="Q247" i="1"/>
  <c r="R247" i="1" s="1"/>
  <c r="X247" i="1" s="1"/>
  <c r="Z247" i="1"/>
  <c r="AD247" i="1" s="1"/>
  <c r="AF247" i="1"/>
  <c r="AH247" i="1" s="1"/>
  <c r="AI247" i="1"/>
  <c r="C248" i="1"/>
  <c r="D248" i="1" s="1"/>
  <c r="H248" i="1"/>
  <c r="L248" i="1"/>
  <c r="N248" i="1" s="1"/>
  <c r="Q248" i="1"/>
  <c r="R248" i="1" s="1"/>
  <c r="X248" i="1" s="1"/>
  <c r="Z248" i="1"/>
  <c r="AD248" i="1" s="1"/>
  <c r="AH248" i="1"/>
  <c r="D249" i="1"/>
  <c r="G249" i="1"/>
  <c r="H249" i="1"/>
  <c r="L249" i="1"/>
  <c r="N249" i="1" s="1"/>
  <c r="Q249" i="1"/>
  <c r="R249" i="1" s="1"/>
  <c r="X249" i="1" s="1"/>
  <c r="Z249" i="1"/>
  <c r="AD249" i="1" s="1"/>
  <c r="AH249" i="1"/>
  <c r="AI249" i="1"/>
  <c r="D250" i="1"/>
  <c r="Z250" i="1" s="1"/>
  <c r="AD250" i="1" s="1"/>
  <c r="G250" i="1"/>
  <c r="H250" i="1"/>
  <c r="L250" i="1"/>
  <c r="N250" i="1" s="1"/>
  <c r="Q250" i="1"/>
  <c r="R250" i="1" s="1"/>
  <c r="X250" i="1" s="1"/>
  <c r="AH250" i="1"/>
  <c r="D251" i="1"/>
  <c r="G251" i="1"/>
  <c r="H251" i="1"/>
  <c r="L251" i="1"/>
  <c r="N251" i="1" s="1"/>
  <c r="Q251" i="1"/>
  <c r="R251" i="1" s="1"/>
  <c r="X251" i="1" s="1"/>
  <c r="Z251" i="1"/>
  <c r="AD251" i="1" s="1"/>
  <c r="AH251" i="1"/>
  <c r="C252" i="1"/>
  <c r="D252" i="1" s="1"/>
  <c r="H252" i="1"/>
  <c r="L252" i="1"/>
  <c r="N252" i="1" s="1"/>
  <c r="Q252" i="1"/>
  <c r="R252" i="1" s="1"/>
  <c r="X252" i="1" s="1"/>
  <c r="Z252" i="1"/>
  <c r="AD252" i="1" s="1"/>
  <c r="AH252" i="1"/>
  <c r="AI252" i="1"/>
  <c r="D253" i="1"/>
  <c r="G253" i="1"/>
  <c r="H253" i="1"/>
  <c r="L253" i="1"/>
  <c r="O253" i="1" s="1"/>
  <c r="Q253" i="1"/>
  <c r="R253" i="1" s="1"/>
  <c r="X253" i="1" s="1"/>
  <c r="Z253" i="1"/>
  <c r="AD253" i="1" s="1"/>
  <c r="AH253" i="1"/>
  <c r="D254" i="1"/>
  <c r="G254" i="1"/>
  <c r="H254" i="1"/>
  <c r="L254" i="1"/>
  <c r="O254" i="1" s="1"/>
  <c r="Q254" i="1"/>
  <c r="R254" i="1" s="1"/>
  <c r="X254" i="1" s="1"/>
  <c r="Z254" i="1"/>
  <c r="AD254" i="1" s="1"/>
  <c r="AH254" i="1"/>
  <c r="D255" i="1"/>
  <c r="G255" i="1"/>
  <c r="H255" i="1"/>
  <c r="L255" i="1"/>
  <c r="N255" i="1" s="1"/>
  <c r="Q255" i="1"/>
  <c r="R255" i="1" s="1"/>
  <c r="X255" i="1" s="1"/>
  <c r="Z255" i="1"/>
  <c r="AD255" i="1" s="1"/>
  <c r="AE255" i="1"/>
  <c r="AH255" i="1" s="1"/>
  <c r="D256" i="1"/>
  <c r="G256" i="1"/>
  <c r="H256" i="1"/>
  <c r="L256" i="1"/>
  <c r="N256" i="1" s="1"/>
  <c r="Q256" i="1"/>
  <c r="R256" i="1" s="1"/>
  <c r="X256" i="1" s="1"/>
  <c r="Z256" i="1"/>
  <c r="AD256" i="1" s="1"/>
  <c r="AE256" i="1"/>
  <c r="AH256" i="1" s="1"/>
  <c r="D257" i="1"/>
  <c r="G257" i="1"/>
  <c r="H257" i="1"/>
  <c r="L257" i="1"/>
  <c r="N257" i="1" s="1"/>
  <c r="Q257" i="1"/>
  <c r="R257" i="1" s="1"/>
  <c r="X257" i="1" s="1"/>
  <c r="Z257" i="1"/>
  <c r="AD257" i="1" s="1"/>
  <c r="AE257" i="1"/>
  <c r="AH257" i="1" s="1"/>
  <c r="D258" i="1"/>
  <c r="G258" i="1"/>
  <c r="H258" i="1"/>
  <c r="I258" i="1" s="1"/>
  <c r="L258" i="1" s="1"/>
  <c r="Q258" i="1"/>
  <c r="R258" i="1" s="1"/>
  <c r="X258" i="1" s="1"/>
  <c r="Z258" i="1"/>
  <c r="AD258" i="1" s="1"/>
  <c r="AH258" i="1"/>
  <c r="D259" i="1"/>
  <c r="G259" i="1"/>
  <c r="H259" i="1"/>
  <c r="I259" i="1" s="1"/>
  <c r="L259" i="1" s="1"/>
  <c r="Q259" i="1"/>
  <c r="R259" i="1" s="1"/>
  <c r="X259" i="1" s="1"/>
  <c r="Z259" i="1"/>
  <c r="AD259" i="1" s="1"/>
  <c r="AH259" i="1"/>
  <c r="D260" i="1"/>
  <c r="G260" i="1"/>
  <c r="H260" i="1"/>
  <c r="L260" i="1"/>
  <c r="O260" i="1" s="1"/>
  <c r="Q260" i="1"/>
  <c r="R260" i="1" s="1"/>
  <c r="X260" i="1" s="1"/>
  <c r="Z260" i="1"/>
  <c r="AD260" i="1" s="1"/>
  <c r="AH260" i="1"/>
  <c r="C261" i="1"/>
  <c r="D261" i="1" s="1"/>
  <c r="H261" i="1"/>
  <c r="L261" i="1"/>
  <c r="N261" i="1" s="1"/>
  <c r="Q261" i="1"/>
  <c r="R261" i="1" s="1"/>
  <c r="X261" i="1" s="1"/>
  <c r="Z261" i="1"/>
  <c r="AD261" i="1" s="1"/>
  <c r="AH261" i="1"/>
  <c r="D262" i="1"/>
  <c r="G262" i="1"/>
  <c r="H262" i="1"/>
  <c r="L262" i="1"/>
  <c r="O262" i="1" s="1"/>
  <c r="Q262" i="1"/>
  <c r="R262" i="1" s="1"/>
  <c r="X262" i="1" s="1"/>
  <c r="Z262" i="1"/>
  <c r="AD262" i="1" s="1"/>
  <c r="AH262" i="1"/>
  <c r="D263" i="1"/>
  <c r="G263" i="1"/>
  <c r="H263" i="1"/>
  <c r="I263" i="1" s="1"/>
  <c r="L263" i="1" s="1"/>
  <c r="N263" i="1" s="1"/>
  <c r="Q263" i="1"/>
  <c r="R263" i="1" s="1"/>
  <c r="X263" i="1" s="1"/>
  <c r="Z263" i="1"/>
  <c r="AD263" i="1" s="1"/>
  <c r="AH263" i="1"/>
  <c r="D264" i="1"/>
  <c r="G264" i="1"/>
  <c r="H264" i="1"/>
  <c r="L264" i="1"/>
  <c r="O264" i="1" s="1"/>
  <c r="Q264" i="1"/>
  <c r="R264" i="1" s="1"/>
  <c r="X264" i="1" s="1"/>
  <c r="Z264" i="1"/>
  <c r="AD264" i="1" s="1"/>
  <c r="AH264" i="1"/>
  <c r="AI264" i="1"/>
  <c r="D265" i="1"/>
  <c r="G265" i="1"/>
  <c r="H265" i="1"/>
  <c r="L265" i="1"/>
  <c r="N265" i="1" s="1"/>
  <c r="Q265" i="1"/>
  <c r="R265" i="1" s="1"/>
  <c r="X265" i="1" s="1"/>
  <c r="Z265" i="1"/>
  <c r="AD265" i="1" s="1"/>
  <c r="AH265" i="1"/>
  <c r="D266" i="1"/>
  <c r="G266" i="1"/>
  <c r="H266" i="1"/>
  <c r="L266" i="1"/>
  <c r="N266" i="1" s="1"/>
  <c r="Q266" i="1"/>
  <c r="R266" i="1" s="1"/>
  <c r="X266" i="1" s="1"/>
  <c r="Z266" i="1"/>
  <c r="AD266" i="1" s="1"/>
  <c r="AH266" i="1"/>
  <c r="AI266" i="1"/>
  <c r="D267" i="1"/>
  <c r="G267" i="1"/>
  <c r="H267" i="1"/>
  <c r="L267" i="1"/>
  <c r="O267" i="1" s="1"/>
  <c r="Q267" i="1"/>
  <c r="R267" i="1" s="1"/>
  <c r="X267" i="1" s="1"/>
  <c r="Z267" i="1"/>
  <c r="AD267" i="1" s="1"/>
  <c r="AH267" i="1"/>
  <c r="D268" i="1"/>
  <c r="G268" i="1"/>
  <c r="H268" i="1"/>
  <c r="I268" i="1" s="1"/>
  <c r="L268" i="1" s="1"/>
  <c r="Q268" i="1"/>
  <c r="R268" i="1" s="1"/>
  <c r="X268" i="1" s="1"/>
  <c r="Z268" i="1"/>
  <c r="AA268" i="1" s="1"/>
  <c r="AH268" i="1"/>
  <c r="D269" i="1"/>
  <c r="G269" i="1"/>
  <c r="H269" i="1"/>
  <c r="L269" i="1"/>
  <c r="N269" i="1" s="1"/>
  <c r="Q269" i="1"/>
  <c r="R269" i="1" s="1"/>
  <c r="X269" i="1" s="1"/>
  <c r="Z269" i="1"/>
  <c r="AD269" i="1" s="1"/>
  <c r="AH269" i="1"/>
  <c r="AI269" i="1"/>
  <c r="D270" i="1"/>
  <c r="G270" i="1"/>
  <c r="H270" i="1"/>
  <c r="I270" i="1" s="1"/>
  <c r="L270" i="1" s="1"/>
  <c r="N270" i="1" s="1"/>
  <c r="Q270" i="1"/>
  <c r="R270" i="1" s="1"/>
  <c r="X270" i="1" s="1"/>
  <c r="AD270" i="1"/>
  <c r="AH270" i="1"/>
  <c r="D271" i="1"/>
  <c r="G271" i="1"/>
  <c r="H271" i="1"/>
  <c r="L271" i="1"/>
  <c r="N271" i="1" s="1"/>
  <c r="Q271" i="1"/>
  <c r="R271" i="1" s="1"/>
  <c r="X271" i="1" s="1"/>
  <c r="Z271" i="1"/>
  <c r="AD271" i="1" s="1"/>
  <c r="AE271" i="1"/>
  <c r="AH271" i="1" s="1"/>
  <c r="AI271" i="1"/>
  <c r="D272" i="1"/>
  <c r="G272" i="1"/>
  <c r="H272" i="1"/>
  <c r="L272" i="1"/>
  <c r="O272" i="1" s="1"/>
  <c r="Q272" i="1"/>
  <c r="R272" i="1" s="1"/>
  <c r="X272" i="1" s="1"/>
  <c r="Z272" i="1"/>
  <c r="AD272" i="1" s="1"/>
  <c r="AE272" i="1"/>
  <c r="AH272" i="1" s="1"/>
  <c r="D273" i="1"/>
  <c r="G273" i="1"/>
  <c r="H273" i="1"/>
  <c r="L273" i="1"/>
  <c r="O273" i="1" s="1"/>
  <c r="Q273" i="1"/>
  <c r="R273" i="1" s="1"/>
  <c r="X273" i="1" s="1"/>
  <c r="Z273" i="1"/>
  <c r="AD273" i="1" s="1"/>
  <c r="AH273" i="1"/>
  <c r="D274" i="1"/>
  <c r="G274" i="1"/>
  <c r="H274" i="1"/>
  <c r="L274" i="1"/>
  <c r="O274" i="1" s="1"/>
  <c r="Q274" i="1"/>
  <c r="R274" i="1" s="1"/>
  <c r="X274" i="1" s="1"/>
  <c r="Z274" i="1"/>
  <c r="AD274" i="1" s="1"/>
  <c r="AE274" i="1"/>
  <c r="AH274" i="1" s="1"/>
  <c r="N275" i="1"/>
  <c r="O275" i="1"/>
  <c r="Q275" i="1"/>
  <c r="R275" i="1" s="1"/>
  <c r="X275" i="1" s="1"/>
  <c r="Z275" i="1"/>
  <c r="AD275" i="1" s="1"/>
  <c r="AH275" i="1"/>
  <c r="AI275" i="1"/>
  <c r="D276" i="1"/>
  <c r="G276" i="1"/>
  <c r="H276" i="1"/>
  <c r="L276" i="1"/>
  <c r="O276" i="1" s="1"/>
  <c r="R276" i="1"/>
  <c r="X276" i="1" s="1"/>
  <c r="Z276" i="1"/>
  <c r="AD276" i="1" s="1"/>
  <c r="AH276" i="1"/>
  <c r="M277" i="1"/>
  <c r="V277" i="1"/>
  <c r="W277" i="1"/>
  <c r="Y277" i="1"/>
  <c r="AB277" i="1"/>
  <c r="E285" i="1"/>
  <c r="E287" i="1" s="1"/>
  <c r="F285" i="1"/>
  <c r="F287" i="1" s="1"/>
  <c r="G285" i="1"/>
  <c r="G287" i="1" s="1"/>
  <c r="X286" i="1"/>
  <c r="K287" i="1"/>
  <c r="R287" i="1"/>
  <c r="S287" i="1" s="1"/>
  <c r="T287" i="1" s="1"/>
  <c r="U287" i="1" s="1"/>
  <c r="V287" i="1" s="1"/>
  <c r="W287" i="1" s="1"/>
  <c r="X287" i="1"/>
  <c r="AH287" i="1"/>
  <c r="AH285" i="1" s="1"/>
  <c r="AI287" i="1"/>
  <c r="AI286" i="1" s="1"/>
  <c r="AD288" i="1"/>
  <c r="W290" i="4" l="1"/>
  <c r="W289" i="4" s="1"/>
  <c r="V289" i="4"/>
  <c r="U294" i="2"/>
  <c r="T293" i="2"/>
  <c r="AH16" i="1"/>
  <c r="X188" i="1"/>
  <c r="AC277" i="1"/>
  <c r="X225" i="1"/>
  <c r="L230" i="1"/>
  <c r="O230" i="1" s="1"/>
  <c r="X71" i="1"/>
  <c r="P277" i="1"/>
  <c r="P278" i="1" s="1"/>
  <c r="AJ277" i="1"/>
  <c r="C277" i="1"/>
  <c r="N219" i="1"/>
  <c r="O218" i="1"/>
  <c r="AH148" i="1"/>
  <c r="AG277" i="1"/>
  <c r="AA277" i="1"/>
  <c r="O140" i="1"/>
  <c r="AE277" i="1"/>
  <c r="O206" i="1"/>
  <c r="O162" i="1"/>
  <c r="D146" i="1"/>
  <c r="O143" i="1"/>
  <c r="O125" i="1"/>
  <c r="O119" i="1"/>
  <c r="O73" i="1"/>
  <c r="AH62" i="1"/>
  <c r="Z287" i="1"/>
  <c r="AA287" i="1" s="1"/>
  <c r="AB287" i="1" s="1"/>
  <c r="AC287" i="1" s="1"/>
  <c r="N273" i="1"/>
  <c r="AI277" i="1"/>
  <c r="O250" i="1"/>
  <c r="O234" i="1"/>
  <c r="D159" i="1"/>
  <c r="O149" i="1"/>
  <c r="O135" i="1"/>
  <c r="O116" i="1"/>
  <c r="O107" i="1"/>
  <c r="X35" i="1"/>
  <c r="U94" i="1"/>
  <c r="U277" i="1" s="1"/>
  <c r="T277" i="1"/>
  <c r="O223" i="1"/>
  <c r="O208" i="1"/>
  <c r="X200" i="1"/>
  <c r="O155" i="1"/>
  <c r="AD129" i="1"/>
  <c r="D63" i="1"/>
  <c r="O265" i="1"/>
  <c r="O249" i="1"/>
  <c r="O203" i="1"/>
  <c r="O193" i="1"/>
  <c r="N134" i="1"/>
  <c r="N75" i="1"/>
  <c r="N72" i="1"/>
  <c r="N70" i="1"/>
  <c r="O84" i="1"/>
  <c r="O83" i="1"/>
  <c r="N267" i="1"/>
  <c r="AL16" i="1"/>
  <c r="AL15" i="1" s="1"/>
  <c r="AL14" i="1" s="1"/>
  <c r="N93" i="1"/>
  <c r="N92" i="1"/>
  <c r="N37" i="1"/>
  <c r="O35" i="1"/>
  <c r="AD69" i="1"/>
  <c r="Z277" i="1"/>
  <c r="AD287" i="1"/>
  <c r="AD286" i="1" s="1"/>
  <c r="X285" i="1"/>
  <c r="N274" i="1"/>
  <c r="N264" i="1"/>
  <c r="N260" i="1"/>
  <c r="O251" i="1"/>
  <c r="N245" i="1"/>
  <c r="N236" i="1"/>
  <c r="O233" i="1"/>
  <c r="D230" i="1"/>
  <c r="N202" i="1"/>
  <c r="O192" i="1"/>
  <c r="D191" i="1"/>
  <c r="O186" i="1"/>
  <c r="AF180" i="1"/>
  <c r="AF277" i="1" s="1"/>
  <c r="N157" i="1"/>
  <c r="D153" i="1"/>
  <c r="N152" i="1"/>
  <c r="N145" i="1"/>
  <c r="N142" i="1"/>
  <c r="N123" i="1"/>
  <c r="O90" i="1"/>
  <c r="AE15" i="1"/>
  <c r="O266" i="1"/>
  <c r="L159" i="1"/>
  <c r="N159" i="1" s="1"/>
  <c r="AH125" i="1"/>
  <c r="N82" i="1"/>
  <c r="Q277" i="1"/>
  <c r="N276" i="1"/>
  <c r="O256" i="1"/>
  <c r="N253" i="1"/>
  <c r="N240" i="1"/>
  <c r="O237" i="1"/>
  <c r="O215" i="1"/>
  <c r="N204" i="1"/>
  <c r="X199" i="1"/>
  <c r="O194" i="1"/>
  <c r="O188" i="1"/>
  <c r="N156" i="1"/>
  <c r="O151" i="1"/>
  <c r="D150" i="1"/>
  <c r="N146" i="1"/>
  <c r="X138" i="1"/>
  <c r="X198" i="1"/>
  <c r="N150" i="1"/>
  <c r="N147" i="1"/>
  <c r="N133" i="1"/>
  <c r="X73" i="1"/>
  <c r="X72" i="1"/>
  <c r="F15" i="1"/>
  <c r="F14" i="1" s="1"/>
  <c r="O258" i="1"/>
  <c r="N258" i="1"/>
  <c r="O268" i="1"/>
  <c r="N268" i="1"/>
  <c r="N272" i="1"/>
  <c r="O269" i="1"/>
  <c r="AD268" i="1"/>
  <c r="N262" i="1"/>
  <c r="N254" i="1"/>
  <c r="O228" i="1"/>
  <c r="N228" i="1"/>
  <c r="N189" i="1"/>
  <c r="O189" i="1"/>
  <c r="O247" i="1"/>
  <c r="N247" i="1"/>
  <c r="N246" i="1"/>
  <c r="O246" i="1"/>
  <c r="O169" i="1"/>
  <c r="N169" i="1"/>
  <c r="O241" i="1"/>
  <c r="N241" i="1"/>
  <c r="O168" i="1"/>
  <c r="N168" i="1"/>
  <c r="H277" i="1"/>
  <c r="N238" i="1"/>
  <c r="O235" i="1"/>
  <c r="N232" i="1"/>
  <c r="O224" i="1"/>
  <c r="N213" i="1"/>
  <c r="N212" i="1"/>
  <c r="N210" i="1"/>
  <c r="D210" i="1"/>
  <c r="N209" i="1"/>
  <c r="N182" i="1"/>
  <c r="N180" i="1"/>
  <c r="N179" i="1"/>
  <c r="N175" i="1"/>
  <c r="O171" i="1"/>
  <c r="O158" i="1"/>
  <c r="N158" i="1"/>
  <c r="O225" i="1"/>
  <c r="N222" i="1"/>
  <c r="O220" i="1"/>
  <c r="AD214" i="1"/>
  <c r="O197" i="1"/>
  <c r="N195" i="1"/>
  <c r="O184" i="1"/>
  <c r="O183" i="1"/>
  <c r="N174" i="1"/>
  <c r="N165" i="1"/>
  <c r="AD192" i="1"/>
  <c r="G167" i="1"/>
  <c r="D167" i="1"/>
  <c r="O166" i="1"/>
  <c r="N166" i="1"/>
  <c r="AD165" i="1"/>
  <c r="O148" i="1"/>
  <c r="G148" i="1"/>
  <c r="O132" i="1"/>
  <c r="O130" i="1"/>
  <c r="O108" i="1"/>
  <c r="N104" i="1"/>
  <c r="O94" i="1"/>
  <c r="D81" i="1"/>
  <c r="N78" i="1"/>
  <c r="O77" i="1"/>
  <c r="N68" i="1"/>
  <c r="N36" i="1"/>
  <c r="N19" i="1"/>
  <c r="N18" i="1"/>
  <c r="L16" i="1"/>
  <c r="L15" i="1" s="1"/>
  <c r="L14" i="1" s="1"/>
  <c r="AI14" i="1"/>
  <c r="U14" i="1"/>
  <c r="P15" i="1"/>
  <c r="P14" i="1" s="1"/>
  <c r="N160" i="1"/>
  <c r="N154" i="1"/>
  <c r="N139" i="1"/>
  <c r="N136" i="1"/>
  <c r="O105" i="1"/>
  <c r="O103" i="1"/>
  <c r="O101" i="1"/>
  <c r="O99" i="1"/>
  <c r="O95" i="1"/>
  <c r="N89" i="1"/>
  <c r="O87" i="1"/>
  <c r="O85" i="1"/>
  <c r="N81" i="1"/>
  <c r="N79" i="1"/>
  <c r="G73" i="1"/>
  <c r="N66" i="1"/>
  <c r="AH33" i="1"/>
  <c r="O29" i="1"/>
  <c r="T14" i="1"/>
  <c r="X16" i="1"/>
  <c r="X15" i="1" s="1"/>
  <c r="D111" i="1"/>
  <c r="N110" i="1"/>
  <c r="AH104" i="1"/>
  <c r="O86" i="1"/>
  <c r="Z15" i="1"/>
  <c r="AD15" i="1" s="1"/>
  <c r="H15" i="1"/>
  <c r="H14" i="1" s="1"/>
  <c r="C15" i="1"/>
  <c r="D15" i="1" s="1"/>
  <c r="AI285" i="1"/>
  <c r="AL277" i="1"/>
  <c r="AL278" i="1"/>
  <c r="R277" i="1"/>
  <c r="X240" i="1"/>
  <c r="O259" i="1"/>
  <c r="N259" i="1"/>
  <c r="N191" i="1"/>
  <c r="O191" i="1"/>
  <c r="AD285" i="1"/>
  <c r="L244" i="1"/>
  <c r="I277" i="1"/>
  <c r="N199" i="1"/>
  <c r="O199" i="1"/>
  <c r="N181" i="1"/>
  <c r="O181" i="1"/>
  <c r="N200" i="1"/>
  <c r="O200" i="1"/>
  <c r="O271" i="1"/>
  <c r="O270" i="1"/>
  <c r="O261" i="1"/>
  <c r="G261" i="1"/>
  <c r="O257" i="1"/>
  <c r="O255" i="1"/>
  <c r="O252" i="1"/>
  <c r="G252" i="1"/>
  <c r="O248" i="1"/>
  <c r="G248" i="1"/>
  <c r="O243" i="1"/>
  <c r="O239" i="1"/>
  <c r="X224" i="1"/>
  <c r="N221" i="1"/>
  <c r="O221" i="1"/>
  <c r="D214" i="1"/>
  <c r="G214" i="1"/>
  <c r="AH213" i="1"/>
  <c r="X201" i="1"/>
  <c r="N198" i="1"/>
  <c r="O198" i="1"/>
  <c r="N177" i="1"/>
  <c r="O177" i="1"/>
  <c r="N170" i="1"/>
  <c r="O170" i="1"/>
  <c r="N164" i="1"/>
  <c r="O164" i="1"/>
  <c r="O153" i="1"/>
  <c r="N153" i="1"/>
  <c r="N144" i="1"/>
  <c r="O144" i="1"/>
  <c r="D141" i="1"/>
  <c r="G141" i="1"/>
  <c r="AE287" i="1"/>
  <c r="N231" i="1"/>
  <c r="O231" i="1"/>
  <c r="X230" i="1"/>
  <c r="O229" i="1"/>
  <c r="O226" i="1"/>
  <c r="O216" i="1"/>
  <c r="N216" i="1"/>
  <c r="D211" i="1"/>
  <c r="G211" i="1"/>
  <c r="N201" i="1"/>
  <c r="N185" i="1"/>
  <c r="O185" i="1"/>
  <c r="N172" i="1"/>
  <c r="O172" i="1"/>
  <c r="O159" i="1"/>
  <c r="N214" i="1"/>
  <c r="O214" i="1"/>
  <c r="N207" i="1"/>
  <c r="O207" i="1"/>
  <c r="N187" i="1"/>
  <c r="O187" i="1"/>
  <c r="N167" i="1"/>
  <c r="O167" i="1"/>
  <c r="N227" i="1"/>
  <c r="O227" i="1"/>
  <c r="N211" i="1"/>
  <c r="O211" i="1"/>
  <c r="O196" i="1"/>
  <c r="N196" i="1"/>
  <c r="N190" i="1"/>
  <c r="O190" i="1"/>
  <c r="N178" i="1"/>
  <c r="O178" i="1"/>
  <c r="O176" i="1"/>
  <c r="N176" i="1"/>
  <c r="O173" i="1"/>
  <c r="O126" i="1"/>
  <c r="N126" i="1"/>
  <c r="N141" i="1"/>
  <c r="O141" i="1"/>
  <c r="N137" i="1"/>
  <c r="O137" i="1"/>
  <c r="N122" i="1"/>
  <c r="O122" i="1"/>
  <c r="L111" i="1"/>
  <c r="N121" i="1"/>
  <c r="O121" i="1"/>
  <c r="S117" i="1"/>
  <c r="X117" i="1" s="1"/>
  <c r="S107" i="1"/>
  <c r="X152" i="1"/>
  <c r="N131" i="1"/>
  <c r="O131" i="1"/>
  <c r="S108" i="1"/>
  <c r="X108" i="1" s="1"/>
  <c r="N91" i="1"/>
  <c r="O91" i="1"/>
  <c r="N117" i="1"/>
  <c r="O109" i="1"/>
  <c r="O106" i="1"/>
  <c r="O102" i="1"/>
  <c r="O100" i="1"/>
  <c r="O96" i="1"/>
  <c r="N71" i="1"/>
  <c r="O71" i="1"/>
  <c r="G79" i="1"/>
  <c r="N69" i="1"/>
  <c r="O69" i="1"/>
  <c r="N63" i="1"/>
  <c r="O63" i="1"/>
  <c r="N74" i="1"/>
  <c r="O74" i="1"/>
  <c r="D71" i="1"/>
  <c r="G71" i="1"/>
  <c r="O65" i="1"/>
  <c r="N65" i="1"/>
  <c r="AF15" i="1"/>
  <c r="AH29" i="1"/>
  <c r="AH15" i="1" s="1"/>
  <c r="O88" i="1"/>
  <c r="G82" i="1"/>
  <c r="N80" i="1"/>
  <c r="L76" i="1"/>
  <c r="O62" i="1"/>
  <c r="N62" i="1"/>
  <c r="C37" i="1"/>
  <c r="D37" i="1" s="1"/>
  <c r="R16" i="1"/>
  <c r="R15" i="1" s="1"/>
  <c r="R14" i="1" s="1"/>
  <c r="D16" i="1"/>
  <c r="M15" i="1"/>
  <c r="O67" i="1"/>
  <c r="O64" i="1"/>
  <c r="AE37" i="1"/>
  <c r="AH37" i="1" s="1"/>
  <c r="AF35" i="1"/>
  <c r="AH35" i="1" s="1"/>
  <c r="N17" i="1"/>
  <c r="O33" i="1"/>
  <c r="AD16" i="1"/>
  <c r="U293" i="2" l="1"/>
  <c r="V294" i="2"/>
  <c r="AL286" i="1"/>
  <c r="AL285" i="1" s="1"/>
  <c r="X94" i="1"/>
  <c r="X14" i="1"/>
  <c r="N230" i="1"/>
  <c r="Z14" i="1"/>
  <c r="AD14" i="1" s="1"/>
  <c r="O16" i="1"/>
  <c r="AD277" i="1"/>
  <c r="D277" i="1"/>
  <c r="N16" i="1"/>
  <c r="S277" i="1"/>
  <c r="AH180" i="1"/>
  <c r="AH277" i="1" s="1"/>
  <c r="AH14" i="1"/>
  <c r="G277" i="1"/>
  <c r="N111" i="1"/>
  <c r="O111" i="1"/>
  <c r="L277" i="1"/>
  <c r="I278" i="1"/>
  <c r="J286" i="1"/>
  <c r="M14" i="1"/>
  <c r="N15" i="1"/>
  <c r="O15" i="1"/>
  <c r="N76" i="1"/>
  <c r="O76" i="1"/>
  <c r="AE14" i="1"/>
  <c r="AE286" i="1" s="1"/>
  <c r="N244" i="1"/>
  <c r="O244" i="1"/>
  <c r="AF14" i="1"/>
  <c r="C14" i="1"/>
  <c r="D14" i="1" s="1"/>
  <c r="X107" i="1"/>
  <c r="X277" i="1" s="1"/>
  <c r="W294" i="2" l="1"/>
  <c r="W293" i="2" s="1"/>
  <c r="V293" i="2"/>
  <c r="AK285" i="1"/>
  <c r="Z286" i="1"/>
  <c r="Z285" i="1" s="1"/>
  <c r="N277" i="1"/>
  <c r="N14" i="1"/>
  <c r="O14" i="1"/>
  <c r="M286" i="1"/>
  <c r="AJ285" i="1"/>
  <c r="K286" i="1"/>
  <c r="K285" i="1" s="1"/>
  <c r="J285" i="1"/>
  <c r="AF286" i="1"/>
  <c r="AE285" i="1"/>
  <c r="O277" i="1"/>
  <c r="L286" i="1"/>
  <c r="L285" i="1" s="1"/>
  <c r="AA286" i="1" l="1"/>
  <c r="AA285" i="1" s="1"/>
  <c r="M285" i="1"/>
  <c r="R286" i="1"/>
  <c r="AF285" i="1"/>
  <c r="AG286" i="1"/>
  <c r="AG285" i="1" s="1"/>
  <c r="AB286" i="1" l="1"/>
  <c r="AB285" i="1" s="1"/>
  <c r="S286" i="1"/>
  <c r="R285" i="1"/>
  <c r="AC286" i="1" l="1"/>
  <c r="AC285" i="1" s="1"/>
  <c r="S285" i="1"/>
  <c r="T286" i="1"/>
  <c r="T285" i="1" l="1"/>
  <c r="U286" i="1"/>
  <c r="U285" i="1" l="1"/>
  <c r="V286" i="1"/>
  <c r="W286" i="1" l="1"/>
  <c r="W285" i="1" s="1"/>
  <c r="V285" i="1"/>
</calcChain>
</file>

<file path=xl/sharedStrings.xml><?xml version="1.0" encoding="utf-8"?>
<sst xmlns="http://schemas.openxmlformats.org/spreadsheetml/2006/main" count="1549" uniqueCount="720">
  <si>
    <t xml:space="preserve">С. Турдалиев </t>
  </si>
  <si>
    <t>и регистрации контрактов</t>
  </si>
  <si>
    <t xml:space="preserve">прогнозирования денежной наличности </t>
  </si>
  <si>
    <t xml:space="preserve">Заведующий отдела </t>
  </si>
  <si>
    <t xml:space="preserve">М.Амандыков </t>
  </si>
  <si>
    <t xml:space="preserve">Центрального казначейства </t>
  </si>
  <si>
    <t xml:space="preserve">Заместитель директора </t>
  </si>
  <si>
    <t xml:space="preserve">- остатки целевых средств </t>
  </si>
  <si>
    <t xml:space="preserve">- временно свободные остатки </t>
  </si>
  <si>
    <t>Всего, в том числе:</t>
  </si>
  <si>
    <t>на начало  августа</t>
  </si>
  <si>
    <t>на начало    июля</t>
  </si>
  <si>
    <t>на конец    июня (план)</t>
  </si>
  <si>
    <t>на начало        июня</t>
  </si>
  <si>
    <t>на конец мая (план)</t>
  </si>
  <si>
    <t>на начало     мая</t>
  </si>
  <si>
    <t>на конец апреля (план)</t>
  </si>
  <si>
    <t>на начало апреля</t>
  </si>
  <si>
    <t>на конец марта (план)</t>
  </si>
  <si>
    <t xml:space="preserve">на конец марта </t>
  </si>
  <si>
    <t xml:space="preserve">на начало марта </t>
  </si>
  <si>
    <t>на начало февраля</t>
  </si>
  <si>
    <t>на начало    года</t>
  </si>
  <si>
    <t>Остатки бюджетных средств республиканского бюджета</t>
  </si>
  <si>
    <t>без СФ и ГД</t>
  </si>
  <si>
    <t>Всего расходов</t>
  </si>
  <si>
    <t>Социальный фонд КР</t>
  </si>
  <si>
    <t>Государственная дирекция по подготовке и проведению Года истории и культуры</t>
  </si>
  <si>
    <t>Центр электронного управления ПКР</t>
  </si>
  <si>
    <t>Государственная телерадиовещательная компания КР «ЭлТР»</t>
  </si>
  <si>
    <t>Национальный филиал межгосударственной телерадиовещательной компании «Мир» в КР</t>
  </si>
  <si>
    <t>Общественная телерадиовещательная корпорация КР</t>
  </si>
  <si>
    <t>Редакция газеты «Эркин Тоо»</t>
  </si>
  <si>
    <t>Государственное агентство по регулированию топливно-энергетического комплекса при ПКР</t>
  </si>
  <si>
    <t>Национальный центр КР по предупреждению пыток и др. жестоких, бесчеловечных или унижающих достоинство видов обращения и наказания</t>
  </si>
  <si>
    <t>Клиническая больница УД Президента и Правительства КР</t>
  </si>
  <si>
    <t>Национальная академия наук КР</t>
  </si>
  <si>
    <t>Секретариат Совета обороны при Президенте КР</t>
  </si>
  <si>
    <t>Высшая аттестационная комиссия КР (аппарат)</t>
  </si>
  <si>
    <t>ГП Санаторий «Иссык-Куль Аврора» при ФУГИ при ПКР</t>
  </si>
  <si>
    <t>Фонд по управлению государственным имуществом при ПКР</t>
  </si>
  <si>
    <t>Национальный статистический комитет КР (подвед.учр.)</t>
  </si>
  <si>
    <t>Национальный статистический комитет КР (аппарат)</t>
  </si>
  <si>
    <t>Информационно-консультационный центр при Государственной службе миграции при ПКР</t>
  </si>
  <si>
    <t>Представительства Государственной службы миграции при ПКР</t>
  </si>
  <si>
    <t>Государственная служба миграции при ПКР (аппарат)</t>
  </si>
  <si>
    <t>Государственное агентство антимонопольного регулирования при ПКР (террит.орг.)</t>
  </si>
  <si>
    <t>Государственное агентство антимонопольного регулирования при ПКР (аппарат)</t>
  </si>
  <si>
    <t>Государственная служба финансовой разведки при ПКР (аппарат)</t>
  </si>
  <si>
    <t>Национальный институт стратегических исследований КР</t>
  </si>
  <si>
    <t>Государственная пограничная служба КР (подвед.учр.)</t>
  </si>
  <si>
    <t>Государственная пограничная служба КР (аппарат)</t>
  </si>
  <si>
    <t>Секретариат Национальной  комиссии КР по делам ЮНЕСКО</t>
  </si>
  <si>
    <t>9 Служба ГКНБ КР</t>
  </si>
  <si>
    <t>Государственный комитет национальной безопасности КР (подвед.учр.)</t>
  </si>
  <si>
    <t>Государственный комитет национальной безопасности КР (аппарат)</t>
  </si>
  <si>
    <t>Центр судебного представительства ПКР</t>
  </si>
  <si>
    <t>Государственная служба  по контролю наркотиков при ПКР</t>
  </si>
  <si>
    <t>Центр исследования религиозной ситуации при ГК по делам религий КР</t>
  </si>
  <si>
    <t>Государственная комиссия по делам религий КР</t>
  </si>
  <si>
    <t>Государственный комитет информационных технолгий и связи КР</t>
  </si>
  <si>
    <t>Государственная инспекция по ветеринарной и фитосанитарной безопасности при ПКР (подвед.учр.)</t>
  </si>
  <si>
    <t>Государственная инспекция по ветеринарной и фитосанитарной безопасности при ПКР (аппарат)</t>
  </si>
  <si>
    <t>Государственная служба по борьбе с экономическими преступлениями при ПКР (подвед.учр.)</t>
  </si>
  <si>
    <t>Государственная служба по борьбе с экономическими преступлениями при ПКР (аппарат)</t>
  </si>
  <si>
    <t>Государственное агентство архитектуры, строительства и жилищно-коммунального хозяйства при ПКР (ПГИ)</t>
  </si>
  <si>
    <t>Государственное агентство архитектуры, строительства и жилищно-коммунального хозяйства при ПКР (подвед.учр.)</t>
  </si>
  <si>
    <t>Государственное агентство архитектуры, строительства и жилищно-коммунального хозяйства при ПКР (аппарат)</t>
  </si>
  <si>
    <t>Государственная кадровая служба КР (подвед.орг.)</t>
  </si>
  <si>
    <t>Государственная кадровая служба КР (аппарат)</t>
  </si>
  <si>
    <t>Государственная служба регулирования и надзора за финансовым рынком при ПКР (подвед.учр.)</t>
  </si>
  <si>
    <t>Государственная служба регулирования и надзора за финансовым рынком при ПКР (аппарат)</t>
  </si>
  <si>
    <t>Государственное агентство по делам молодежи, физической культуры и спорта при ПКР (подвед.учр.)</t>
  </si>
  <si>
    <t>Государственное агентство по делам молодежи, физической культуры и спорта при ПКР (аппарат)</t>
  </si>
  <si>
    <t>Государственная картографо-геодезическая служба при ГАГ и МР при ПКР</t>
  </si>
  <si>
    <t xml:space="preserve">Государственный комитет промышленности, энергетики и недропользования (подвед.учр.)
</t>
  </si>
  <si>
    <t>Государственный комитет промышленности, энергетики и недропользования (аппарат)</t>
  </si>
  <si>
    <t>Государственная инспекция по экологической и технической безопасности при ПКР (подвед.учр.)</t>
  </si>
  <si>
    <t>Государственная инспекция по экологической и технической безопасности при ПКР (аппарат)</t>
  </si>
  <si>
    <t>Архивное агентство при ГРС при ПКР (подвед.учр.)</t>
  </si>
  <si>
    <t>Архивное агентство при ГРС  при ПКР (аппарат)</t>
  </si>
  <si>
    <t>Государственная регистрационная служба при ПКР (подвед.учр.)</t>
  </si>
  <si>
    <t>Государственная регистрационная служба при ПКР (аппарат)</t>
  </si>
  <si>
    <t>Государственное агентство охраны окружающей среды и  лесного хозяйства при ПКР (подвед.учр.)</t>
  </si>
  <si>
    <t>Государственное агентство охраны окружающей среды и лесного хозяйства при ПКР (аппарат)</t>
  </si>
  <si>
    <t>Государственное агентство по делам местного самоуправления и межэтнических отношений при ПКР (ПГИ)</t>
  </si>
  <si>
    <t>Государственное агентство по делам местного самоуправления и межэтнических отношений при ПКР</t>
  </si>
  <si>
    <t>Национальная комиссия по государственному языку  при Президенте КР</t>
  </si>
  <si>
    <t>Центральное правление «Кыргызского общества слепых и глухих»</t>
  </si>
  <si>
    <t>Государственная таможенная служба при ПКР (подвед.учр.)</t>
  </si>
  <si>
    <t>Государственная таможенная служба при ПКР (аппарат)</t>
  </si>
  <si>
    <t>Государственная налоговая служба при ПКР (подвед.учр.)</t>
  </si>
  <si>
    <t>Государственная налоговая служба при ПКР  (аппарат)</t>
  </si>
  <si>
    <t>Центрально-Азиатский институт прикладных исследований Земли</t>
  </si>
  <si>
    <t>Агентство по гидрометеорологии при МЧС КР</t>
  </si>
  <si>
    <t>Агентство государственной  противопожарной службы при МЧС КР (подвед.учр.)</t>
  </si>
  <si>
    <t>Государственное агентство «Сельводзащита» при МЧС КР</t>
  </si>
  <si>
    <t>Министерство чрезвычайных ситуаций КР - Специальный фонд</t>
  </si>
  <si>
    <t>Министерство чрезвычайных ситуаций КР (подвед.учр.)</t>
  </si>
  <si>
    <t>Министерство чрезвычайных ситуаций КР (аппарат)</t>
  </si>
  <si>
    <t>Кыргызский национальный комплекс «Манас Ордо»</t>
  </si>
  <si>
    <t>Департамент информации и массовых коммуникаций при МКИ и Т КР - Областные телерадиокомпании</t>
  </si>
  <si>
    <t>Департамент информации и массовых коммуникаций при МКИ и Т КР - Областные и районные редакции газет</t>
  </si>
  <si>
    <t>Департамент информации и массовых коммуникаций при МКИ и Т КР (подвед.учр.)</t>
  </si>
  <si>
    <t>Департамент информации и массовых коммуникаций при МКИ и Т КР (аппарат)</t>
  </si>
  <si>
    <t>Редакционная коллегия  республиканской «Книги памяти»</t>
  </si>
  <si>
    <t>Кыргызское национальное информационное агентство «Кабар»</t>
  </si>
  <si>
    <t>Департамент кинематографии при МКИ и Т КР (подвед.учр.)</t>
  </si>
  <si>
    <t>Департамент кинематографии при МКИ и Т КР (аппарат)</t>
  </si>
  <si>
    <t>Комитет по государственным премиям КР имени Токтогула</t>
  </si>
  <si>
    <t>Департамент туризма при МКИ и Т КР (аппарат)</t>
  </si>
  <si>
    <t>Министерство культуры, информации и туризма КР (подвед. учр.)</t>
  </si>
  <si>
    <t>Министерство культуры, информации и туризма КР (аппарат)</t>
  </si>
  <si>
    <t>Министерство транспорта и коммуникаций КР (ПГИ)</t>
  </si>
  <si>
    <t>Кыргызский авиационный колледж им. И.Абдраимова</t>
  </si>
  <si>
    <t>Государственная фельдъегерская служба при МТ и К КР</t>
  </si>
  <si>
    <t>Госагентство автомобильного и водного транспорта при МТ и К КР (подвед.учр.)</t>
  </si>
  <si>
    <t>Госагентство автомобильного и водного транспорта при МТ и К КР (аппарат)</t>
  </si>
  <si>
    <t>Агентство гражданской авиации при МТ и К КР</t>
  </si>
  <si>
    <t>Департамент дорожного хозяйства при МТ и К КР (подвед.учр.)</t>
  </si>
  <si>
    <t>Департамент дорожного хозяйства при МТ и К КР (аппарат)</t>
  </si>
  <si>
    <t>Министерство транспорта и коммуникаций КР (подвед.учр.)</t>
  </si>
  <si>
    <t>Министерство транспорта и коммуникаций КР (аппарат)</t>
  </si>
  <si>
    <t>Департамент весогабаритного контроля при Министерство транспорта и коммуникаций КР</t>
  </si>
  <si>
    <t>Министерство сельского хозяйства и мелиорации КР (ПГИ)</t>
  </si>
  <si>
    <t>Государственный проектный институт по землеустройству «Кыргызгипрозем» КР</t>
  </si>
  <si>
    <t>Министерство сельского хозяйства и мелиорации КР (рай.упр.аграрного развития)</t>
  </si>
  <si>
    <t>Департамент водного хозяйства и мелиорации МСХ и М КР (подвед.учр.)</t>
  </si>
  <si>
    <t>Департамент водного хозяйства и мелиорации МСХ и М КР (аппарат)</t>
  </si>
  <si>
    <t>Министерство сельского хозяйства  и мелиорации КР (подвед.учр.)</t>
  </si>
  <si>
    <t>Министерство сельского хозяйства и мелиорации КР (аппарат)</t>
  </si>
  <si>
    <t>Общественное объединение «Республиканский Совет ветеранов войны, вооруженных сил, правоохранительных органов и труженников тыла КР»</t>
  </si>
  <si>
    <t>Академия государственного управления при Президенте КР</t>
  </si>
  <si>
    <t>Министерство труда и социального развития КР (подве.учр.)</t>
  </si>
  <si>
    <t>Министерство труда и социального развития КР (аппарат)</t>
  </si>
  <si>
    <t>Министерство здравоохранения КР (подвед.учр.)</t>
  </si>
  <si>
    <t>Министерство здравоохранения КР (аппарат)</t>
  </si>
  <si>
    <t>Фонд обязательного медицинского страхования - Единый плательщик</t>
  </si>
  <si>
    <t>Фонд обязательного медицинского страхования при ПКР</t>
  </si>
  <si>
    <t>Фонд обязательного медицинского страхования при ПКР (аппарат)</t>
  </si>
  <si>
    <t>Министерство образования и науки КР (ПГИ)</t>
  </si>
  <si>
    <t>Департамент по инвестициям, ремонту и материальному обеспечению при Министерстве образования и науки КР</t>
  </si>
  <si>
    <t>Министерство образования и науки КР (подвед.учр. по науке)</t>
  </si>
  <si>
    <t>Министерство образования и науки КР (подвед.учр.образ. и культ.)</t>
  </si>
  <si>
    <t>Министерство образования и науки КР (аппарат)</t>
  </si>
  <si>
    <t>Агентство профессионально-технического образования при МО и Н КР (подвед.учр.)</t>
  </si>
  <si>
    <t>Агентство профессионально-технического образования при МО и Н КР (аппарат)</t>
  </si>
  <si>
    <t>Академия МВД КР</t>
  </si>
  <si>
    <t>Главное управление патрульной милиции МВД КР</t>
  </si>
  <si>
    <t>Министерство внутренних дел КР (подвед.учр.)</t>
  </si>
  <si>
    <t>Министерство внутренних дел КР (аппарат)</t>
  </si>
  <si>
    <t>Департамент по охране исправительных учреждений и конвоированию осужденных лиц, заключенных под стражу при ГСИН при ПКР</t>
  </si>
  <si>
    <t>Государственная служба исполнения наказаний при ПКР</t>
  </si>
  <si>
    <t>Военный суд КР (аппарат)</t>
  </si>
  <si>
    <t>Государственный комитет по делам обороны КР (подвед.учр.)</t>
  </si>
  <si>
    <t>Государственный комитет по делам обороны КР (аппарат)</t>
  </si>
  <si>
    <t>Национальная гвардия КР (подвед.учр.)</t>
  </si>
  <si>
    <t>Национальная гвардия КР (аппарат)</t>
  </si>
  <si>
    <t>Министерство экономики КР (ПГИ)</t>
  </si>
  <si>
    <t>ГП Центр «единого окна» при МЭ КР</t>
  </si>
  <si>
    <t>Министерство экономики КР - Торговые представительства</t>
  </si>
  <si>
    <t>Министерство экономики КР (подвед.учр.)</t>
  </si>
  <si>
    <t>Министерство экономики КР (аппарат)</t>
  </si>
  <si>
    <t>ГП «Кыргызский жилищно-коммунальный союз» при МЭ КР - Республиканский специализированный комбинат</t>
  </si>
  <si>
    <t>ГП «Кыргызский жилищно-коммунальный союз» при МЭ КР</t>
  </si>
  <si>
    <t>Кыргызский научно-технический центр «Энергия» при МЭ КР</t>
  </si>
  <si>
    <t>Департамент по делам банкротства при МЭ КР</t>
  </si>
  <si>
    <t>Агентство по продвижению инвестиций при МЭ КР</t>
  </si>
  <si>
    <t>Государственная инспекция по метрологическому надзору при МЭ КР</t>
  </si>
  <si>
    <t>Кыргызский центр аккредитации при МЭ КР</t>
  </si>
  <si>
    <t>Центр по стандартизации и метрологии при МЭ КР</t>
  </si>
  <si>
    <t>Учреждения, переданные из районного бюджета в республиканский бюджет</t>
  </si>
  <si>
    <t>Учреждения, переданные из местного бюджета в республиканский бюджет</t>
  </si>
  <si>
    <t>Министерство финансов КР (реализация проектов турецкого кредита)</t>
  </si>
  <si>
    <t>Повышение социальных выплат</t>
  </si>
  <si>
    <t>Мероприятия по ликвидации стихийных бедствий</t>
  </si>
  <si>
    <t>Капитальные вложения</t>
  </si>
  <si>
    <t>Турецкий кредит</t>
  </si>
  <si>
    <t>Конвертация кредитов</t>
  </si>
  <si>
    <t>Выпуск ссуд</t>
  </si>
  <si>
    <t>Субсидирование процентных ставок коммерческих банков</t>
  </si>
  <si>
    <t>Развитие приграничных территорий</t>
  </si>
  <si>
    <t>Оплата услуг банков (выплата АКБ и финансово-кредитным учреждениям)</t>
  </si>
  <si>
    <t>Министерство финансов КР (капитализация)</t>
  </si>
  <si>
    <t>Исполнение решений суда</t>
  </si>
  <si>
    <t>Возмещение и возврат НДС</t>
  </si>
  <si>
    <t>Внутренний долг (выплата основной суммы)</t>
  </si>
  <si>
    <t>Внутренний долг (выплата процентов)</t>
  </si>
  <si>
    <t>Внешний долг (выплата основной суммы)</t>
  </si>
  <si>
    <t>Внешний долг (выплата процентов)</t>
  </si>
  <si>
    <t>Государственный долг</t>
  </si>
  <si>
    <t>Взносы в международные организации</t>
  </si>
  <si>
    <t>Стимулирующие (долевые) гранты</t>
  </si>
  <si>
    <t>Средства, передаваемые по взаимным расчетам из республиканского бюджета в местный бюджет</t>
  </si>
  <si>
    <t>Выравнивающие гранты</t>
  </si>
  <si>
    <t>Министерство финансов КР (ПГИ)</t>
  </si>
  <si>
    <t>Департамент государственных закупок при МФ КР</t>
  </si>
  <si>
    <t>Департамент драгоценных металов при МФ КР</t>
  </si>
  <si>
    <t>Учебный центр Министерства финансов КР</t>
  </si>
  <si>
    <t>Министерство финансов КР (тер.органы)</t>
  </si>
  <si>
    <t>Министерство финансов КР (аппарат)</t>
  </si>
  <si>
    <t>Резервный фонд акимов</t>
  </si>
  <si>
    <t>Резервный фонд полномочного представительства ПКР в областях</t>
  </si>
  <si>
    <t>Фонды развития областей</t>
  </si>
  <si>
    <t>Фонды развития районов</t>
  </si>
  <si>
    <t>Министерство иностранных дел КР - Дипломатическая академия</t>
  </si>
  <si>
    <t>Министерство иностранных дел КР (Загранучреждения КР)</t>
  </si>
  <si>
    <t>Министерство иностранных дел КР - Кыргыздипсервис</t>
  </si>
  <si>
    <t>Министерство иностранных дел КР (подвед. представительства)</t>
  </si>
  <si>
    <t>Министерство иностранных дел КР (аппарат)</t>
  </si>
  <si>
    <t>Государственный центр судебных экспертиз при МЮ КР</t>
  </si>
  <si>
    <t>Министерство юстиции КР (подвед.учр.)</t>
  </si>
  <si>
    <t>Министерство юстиции КР (аппарат)</t>
  </si>
  <si>
    <t>Аппарат Омбудсмена (Акыйкатчы) КР</t>
  </si>
  <si>
    <t>Военная прокуратура КР</t>
  </si>
  <si>
    <t>Генеральная прокуратура КР (тер.органы)</t>
  </si>
  <si>
    <t>Генеральная прокуратура КР (аппарат)</t>
  </si>
  <si>
    <t>Центральная комиссия по выборам и проведению референдумов КР (выборы)</t>
  </si>
  <si>
    <t>Центральная комиссия по выборам и проведению референдумов КР (аппарат)</t>
  </si>
  <si>
    <t>Счетная палата КР (тер.органы)</t>
  </si>
  <si>
    <t>Счетная палата КР (аппарат)</t>
  </si>
  <si>
    <t>Судебный департамент при Верховном суде КР (подвед.учр.)</t>
  </si>
  <si>
    <t>Судебный департамент при Верховном суде КР (аппарат)</t>
  </si>
  <si>
    <t>Конституционная палата Верховного суда КР (аппарат)</t>
  </si>
  <si>
    <t>Учебный центр судей Верховного суда КР</t>
  </si>
  <si>
    <t>Верховный суд КР (аппарат)</t>
  </si>
  <si>
    <t>Расходы государственного значения</t>
  </si>
  <si>
    <t>Фонд образования при Президенте КР</t>
  </si>
  <si>
    <t>УД Президента и Правительства КР</t>
  </si>
  <si>
    <t>Резервный фонд Правительства КР</t>
  </si>
  <si>
    <t>Аппарат Правительства КР</t>
  </si>
  <si>
    <t>Архив Президента КР</t>
  </si>
  <si>
    <t>Резервный фонд Президента КР</t>
  </si>
  <si>
    <t>Аппарат Президента КР (общехоз.деятельность)</t>
  </si>
  <si>
    <t>Аппарат Президента КР</t>
  </si>
  <si>
    <t>Резервный фонд Торага ЖК КР</t>
  </si>
  <si>
    <t>Автопредприятие Управления делами ЖК КР</t>
  </si>
  <si>
    <t>Премия Межпарламентской Ассамблеи государств-участников СНГ имени Ч.Айтматова</t>
  </si>
  <si>
    <t>Управление делами ЖК КР</t>
  </si>
  <si>
    <t>Жогорку Кенеш КР (аппарат)</t>
  </si>
  <si>
    <t>ИТОГО</t>
  </si>
  <si>
    <t>август 2016</t>
  </si>
  <si>
    <t>июль  2016</t>
  </si>
  <si>
    <t>июнь 2016</t>
  </si>
  <si>
    <t>июнь 2016 кассовый план</t>
  </si>
  <si>
    <t>1 июня 2016 кассовый план</t>
  </si>
  <si>
    <t>май 2016</t>
  </si>
  <si>
    <t>30 мая 2016 кассовый план</t>
  </si>
  <si>
    <t>23 мая 2016 кассовый план</t>
  </si>
  <si>
    <t>18 мая 2016 кассовый план</t>
  </si>
  <si>
    <t>6 мая 2016 кассовый план</t>
  </si>
  <si>
    <t>Пороговый объем обязательств</t>
  </si>
  <si>
    <t>апрель 2016</t>
  </si>
  <si>
    <t>30 апреля 2016 кассовый план</t>
  </si>
  <si>
    <t>29 апреля 2016 кассовый план</t>
  </si>
  <si>
    <t>28 апреля 2016 кассовый план</t>
  </si>
  <si>
    <t>25 апреля 2016 кассовый план</t>
  </si>
  <si>
    <t>15 апреля 2016 кассовый план</t>
  </si>
  <si>
    <t>1 апреля 2016 кассовый план</t>
  </si>
  <si>
    <t>удельный вес (доля) в %</t>
  </si>
  <si>
    <t>план                II кв.2016</t>
  </si>
  <si>
    <t>% выполнения</t>
  </si>
  <si>
    <t>отклонения</t>
  </si>
  <si>
    <t>март 2016</t>
  </si>
  <si>
    <t>март 2016 касс.план утвержд.</t>
  </si>
  <si>
    <t>кассовый план</t>
  </si>
  <si>
    <t>доля в %</t>
  </si>
  <si>
    <t>роспись                  I квартала (23,3%)</t>
  </si>
  <si>
    <t>февраль 2016</t>
  </si>
  <si>
    <t>январь 2016</t>
  </si>
  <si>
    <t>месячный бюджет (1/12)</t>
  </si>
  <si>
    <t>годовой бюджет</t>
  </si>
  <si>
    <t>наименование главного распорядителя             (распорядителя) бюджетных средств</t>
  </si>
  <si>
    <t xml:space="preserve">код </t>
  </si>
  <si>
    <t>(тыс.сомов)</t>
  </si>
  <si>
    <t>Остатки средств на счетах</t>
  </si>
  <si>
    <t>* кредит SWAP 2 - здравоохранение</t>
  </si>
  <si>
    <t xml:space="preserve">* кредит Турции </t>
  </si>
  <si>
    <t>* кредит МАР</t>
  </si>
  <si>
    <t>* кредит ВБ - операции в поддержку политики развития</t>
  </si>
  <si>
    <t>* кредит ЕС</t>
  </si>
  <si>
    <t>* кредит МВФ - расширенный кредитный механизм</t>
  </si>
  <si>
    <t>внешние займы</t>
  </si>
  <si>
    <t>государственные долгосрочные ценные бумаги (ГКО)</t>
  </si>
  <si>
    <t>государственные краткосрочные ценные бумаги (ГКВ)</t>
  </si>
  <si>
    <t>Обязательства</t>
  </si>
  <si>
    <t xml:space="preserve">погашение внутренней дебиторской задолженности </t>
  </si>
  <si>
    <t>Финансовые активы</t>
  </si>
  <si>
    <t>Нефинансовые активы</t>
  </si>
  <si>
    <t xml:space="preserve">проценты по выданным бюджетным ссудам и кредитам </t>
  </si>
  <si>
    <t>прибыль государственных предприятий</t>
  </si>
  <si>
    <t>прибыль Национального банка</t>
  </si>
  <si>
    <t>дивиденды, начисленные на государственный пакет акций</t>
  </si>
  <si>
    <t>Неналоговые доходы</t>
  </si>
  <si>
    <t>средства передаваемые по взаимным расчетам из местного бюджета</t>
  </si>
  <si>
    <t>грант ВБ - операции в поддержку политики развития</t>
  </si>
  <si>
    <t>грант МАР</t>
  </si>
  <si>
    <t>грант SWAP 2 - здравоохранение и соцзащита</t>
  </si>
  <si>
    <t xml:space="preserve">грант России </t>
  </si>
  <si>
    <t>грант ЕК - макрофинансовая помощь</t>
  </si>
  <si>
    <t>грант КЕС</t>
  </si>
  <si>
    <t>грант ЕС - поддержка секторальной политики</t>
  </si>
  <si>
    <t>Официальные трансферты</t>
  </si>
  <si>
    <t>Государственная таможенная служба</t>
  </si>
  <si>
    <t>* Кумтор</t>
  </si>
  <si>
    <t>Государственная налоговая служба</t>
  </si>
  <si>
    <t>Налоговые доходы</t>
  </si>
  <si>
    <t>Доходы</t>
  </si>
  <si>
    <t xml:space="preserve">Всего ресурсов </t>
  </si>
  <si>
    <t>итого</t>
  </si>
  <si>
    <t xml:space="preserve">  июль 2016</t>
  </si>
  <si>
    <t>уточнения плана</t>
  </si>
  <si>
    <t>апрель 2016 (план УПГД)</t>
  </si>
  <si>
    <t>март 2016 кассовый план</t>
  </si>
  <si>
    <t xml:space="preserve">кассовый план </t>
  </si>
  <si>
    <t>план УПГД</t>
  </si>
  <si>
    <t>март 2015 (факт)</t>
  </si>
  <si>
    <t>наименование ресурсов</t>
  </si>
  <si>
    <t>РЕСПУБЛИКАНСКОГО БЮДЖЕТА КЫРГЫЗСКОЙ РЕСПУБЛИКИ</t>
  </si>
  <si>
    <t xml:space="preserve">КАССОВЫЙ ПЛАН </t>
  </si>
  <si>
    <t>А.К. Бакетаев</t>
  </si>
  <si>
    <t>директор Центрального казначейства</t>
  </si>
  <si>
    <t>Кыргызской Республики</t>
  </si>
  <si>
    <t>Заместитель министра финансов -</t>
  </si>
  <si>
    <t>Организация деятельности ГП "Государственная лоторейная компания"</t>
  </si>
  <si>
    <t>А.А. Касымалиев</t>
  </si>
  <si>
    <t>Министр финансов</t>
  </si>
  <si>
    <t>1 сентября 2016 года</t>
  </si>
  <si>
    <t>сентябрь 2016</t>
  </si>
  <si>
    <t>на начало сентября</t>
  </si>
  <si>
    <t>на конец сентября</t>
  </si>
  <si>
    <t>НА  СЕНТЯБРЬ 2016 ГОДА</t>
  </si>
  <si>
    <t>Исп.: Центральное казначейство МФ КР</t>
  </si>
  <si>
    <t>ОПДНиРК  зав.Турдалиев С. т.62-67-78</t>
  </si>
  <si>
    <t>Заместитель министра – Директор</t>
  </si>
  <si>
    <t xml:space="preserve">Центрального казначейства                                                            </t>
  </si>
  <si>
    <t xml:space="preserve"> А.К. Бакетаев </t>
  </si>
  <si>
    <t xml:space="preserve">М.Л. Амандыков </t>
  </si>
  <si>
    <t>"Утверждено"</t>
  </si>
  <si>
    <t>"Согласовано"</t>
  </si>
  <si>
    <t>Премьер-министр</t>
  </si>
  <si>
    <t>С.Ш. Жээнбеков</t>
  </si>
  <si>
    <t>____ сентября 2016 года</t>
  </si>
  <si>
    <t>СЕКРЕТНО</t>
  </si>
  <si>
    <t>Экз.№____</t>
  </si>
  <si>
    <t>утвержденный сентябрь 2016</t>
  </si>
  <si>
    <t>дополнения (изменения)</t>
  </si>
  <si>
    <t>Фонд государственных материальных резервов</t>
  </si>
  <si>
    <t>И.о. министра финансов</t>
  </si>
  <si>
    <t>22 сентября 2016 года</t>
  </si>
  <si>
    <t>Заместитель министра -</t>
  </si>
  <si>
    <t xml:space="preserve">Заведующий отдела прогнозирования </t>
  </si>
  <si>
    <t>денежной наличности</t>
  </si>
  <si>
    <t xml:space="preserve">С.Ж. Турдалиев </t>
  </si>
  <si>
    <t>октябрь 2016</t>
  </si>
  <si>
    <t>грант ЕС</t>
  </si>
  <si>
    <t>3 октября 2016 года</t>
  </si>
  <si>
    <t>НА  ОКТЯБРЬ 2016 ГОДА</t>
  </si>
  <si>
    <t>на конец октября</t>
  </si>
  <si>
    <t>Выравнивающие трансферты</t>
  </si>
  <si>
    <t>Целевые трансферты</t>
  </si>
  <si>
    <t>Государственный бюджетный резерв</t>
  </si>
  <si>
    <t>Национальный центр информационных технологий</t>
  </si>
  <si>
    <t>43620</t>
  </si>
  <si>
    <t>43610</t>
  </si>
  <si>
    <t>Фонд финансирования подготовки проектов государственно-частного партнерства</t>
  </si>
  <si>
    <t>Агентство по продвижению и защите инвестиций Кыргызской Республики (аппарат)</t>
  </si>
  <si>
    <t>Финансирование экспортоориентированных и импортозамещающих предприятий</t>
  </si>
  <si>
    <t>11110</t>
  </si>
  <si>
    <t>Жогорку Кенеш Кыргызской Республики (аппарат)</t>
  </si>
  <si>
    <t>11120</t>
  </si>
  <si>
    <t>Управление делами Жогорку Кенеша Кыргызской Республики</t>
  </si>
  <si>
    <t>11130</t>
  </si>
  <si>
    <t>Гараж Управления делами Жогорку Кенеша Кыргызской Республики</t>
  </si>
  <si>
    <t>11810</t>
  </si>
  <si>
    <t>Резервный фонд Торага Жогорку Кенеша Кыргызской Республики</t>
  </si>
  <si>
    <t>12110</t>
  </si>
  <si>
    <t>Аппарат Президента Кыргызской Республики (аппарат)</t>
  </si>
  <si>
    <t>12120</t>
  </si>
  <si>
    <t>Аппарат Президента Кыргызской Республики (общехозяйственная деятельность)</t>
  </si>
  <si>
    <t>12810</t>
  </si>
  <si>
    <t>Резервный фонд Президента Кыргызской Республики</t>
  </si>
  <si>
    <t>13120</t>
  </si>
  <si>
    <t>Архив Президента Кыргызской Республики</t>
  </si>
  <si>
    <t>14110</t>
  </si>
  <si>
    <t>Аппарат Правительства Кыргызской Республики</t>
  </si>
  <si>
    <t>14810</t>
  </si>
  <si>
    <t>Резервный фонд Правительства Кыргызской Республики</t>
  </si>
  <si>
    <t>15120</t>
  </si>
  <si>
    <t>Управление делами Президента и Правительства Кыргызской Республики</t>
  </si>
  <si>
    <t>15130</t>
  </si>
  <si>
    <t>Фонд образования при Президенте Кыргызской Республики</t>
  </si>
  <si>
    <t>15140</t>
  </si>
  <si>
    <t>16110</t>
  </si>
  <si>
    <t>Верховный суд Кыргызской Республики (аппарат)</t>
  </si>
  <si>
    <t>16120</t>
  </si>
  <si>
    <t>Верховный суд Кыргызской Республики (подведомственные учреждения)</t>
  </si>
  <si>
    <t>16210</t>
  </si>
  <si>
    <t>Конституционная палата Верховного суда Кыргызской Республики (аппарат)</t>
  </si>
  <si>
    <t>16310</t>
  </si>
  <si>
    <t>Судебный департамент при Верховном суде Кыргызской Республики (аппарат)</t>
  </si>
  <si>
    <t>16320</t>
  </si>
  <si>
    <t>Судебный департамент при Верховном суде Кыргызской Республики (подведомственные учреждения)</t>
  </si>
  <si>
    <t>17110</t>
  </si>
  <si>
    <t>Счетная палата Кыргызской Республики (аппарат)</t>
  </si>
  <si>
    <t>17120</t>
  </si>
  <si>
    <t>Счетная палата Кыргызской Республики (территориальные органы)</t>
  </si>
  <si>
    <t>18110</t>
  </si>
  <si>
    <t>Центральная комиссия по выборам и проведению референдумов Кыргызской Республики (аппарат)</t>
  </si>
  <si>
    <t>18120</t>
  </si>
  <si>
    <t>Центральная комиссия по выборам и проведению референдумов Кыргызской Республики (выборы)</t>
  </si>
  <si>
    <t>19110</t>
  </si>
  <si>
    <t>Генеральная прокуратура Кыргызской Республики (аппарат)</t>
  </si>
  <si>
    <t>19120</t>
  </si>
  <si>
    <t>Генеральная прокуратура Кыргызской Республики (подведомственные учреждения)</t>
  </si>
  <si>
    <t>20110</t>
  </si>
  <si>
    <t>Военная прокуратура Кыргызской Республики (аппарат)</t>
  </si>
  <si>
    <t>21110</t>
  </si>
  <si>
    <t>Омбудсмен (Акыйкатчы) Кыргызской Республики (аппарат)</t>
  </si>
  <si>
    <t>22110</t>
  </si>
  <si>
    <t>Министерство юстиции Кыргызской Республики (аппарат)</t>
  </si>
  <si>
    <t>22120</t>
  </si>
  <si>
    <t>Министерство юстиции Кыргызской Республики (подведомственные учреждения)</t>
  </si>
  <si>
    <t>22130</t>
  </si>
  <si>
    <t>Центр по координации гарантированной государством юридической помощи при Министерстве юстиции Кыргызской Республики</t>
  </si>
  <si>
    <t>23110</t>
  </si>
  <si>
    <t>Министерство иностранных дел Кыргызской Республики (аппарат)</t>
  </si>
  <si>
    <t>23120</t>
  </si>
  <si>
    <t>Министерство иностранных дел Кыргызской Республики (подведомственные представительства)</t>
  </si>
  <si>
    <t>23140</t>
  </si>
  <si>
    <t>Министерство иностранных дел Кыргызской Республики (загранучреждения Кыргызской Республики)</t>
  </si>
  <si>
    <t>23150</t>
  </si>
  <si>
    <t>Министерство иностранных дел Кыргызской Республики (дипломатическая академия)</t>
  </si>
  <si>
    <t>24140</t>
  </si>
  <si>
    <t>24150</t>
  </si>
  <si>
    <t>24220</t>
  </si>
  <si>
    <t>Резервный фонд полномочного представителя Правительства Кыргызской Республики в областях</t>
  </si>
  <si>
    <t>24320</t>
  </si>
  <si>
    <t>24420</t>
  </si>
  <si>
    <t>25110</t>
  </si>
  <si>
    <t>Министерство финансов Кыргызской Республики (аппарат)</t>
  </si>
  <si>
    <t>25120</t>
  </si>
  <si>
    <t>Министерство финансов Кыргызской Республики (территориальные органы)</t>
  </si>
  <si>
    <t>25220</t>
  </si>
  <si>
    <t>Учебный центр Министерства финансов Кыргызской Республики</t>
  </si>
  <si>
    <t>25320</t>
  </si>
  <si>
    <t>Департамент драгоценных металлов при Министерстве финансов Кыргызской Республики</t>
  </si>
  <si>
    <t>25420</t>
  </si>
  <si>
    <t>Департамент государственных закупок при Министерстве финансов Кыргызской Республики</t>
  </si>
  <si>
    <t>25510</t>
  </si>
  <si>
    <t>Государственное агентство по управлению бюджетными кредитами при Министерстве финансов Кыргызской Республики</t>
  </si>
  <si>
    <t>26511</t>
  </si>
  <si>
    <t>Министерство финансов (трансферты Фонду обязательного медицинского страхования при Правительстве Кыргызской Республики)</t>
  </si>
  <si>
    <t>26521</t>
  </si>
  <si>
    <t>Министерство финансов (трансферты Социальному фонду Кыргызской Республики)</t>
  </si>
  <si>
    <t>26621</t>
  </si>
  <si>
    <t>Министерство финансов (стимулирующие гранты)</t>
  </si>
  <si>
    <t>26630</t>
  </si>
  <si>
    <t>ГП "Центр электронного взаимодействия" при Государственном комитете информационных технологий и связи Кыргызской Республики</t>
  </si>
  <si>
    <t>Реализация Национальной программы развития государственного языка и совершенствования языковой политики в Кыргызской Республике</t>
  </si>
  <si>
    <t>Цифровая экономика</t>
  </si>
  <si>
    <t>Развитие регионов Кыргызской Республики</t>
  </si>
  <si>
    <t>Безопасный город</t>
  </si>
  <si>
    <t>Государственное агентство по управлению бюджетными кредитами при Министерстве финансов Кыргызской Республики - сортоиспытательные участки</t>
  </si>
  <si>
    <t>Государственное агентство по управлению бюджетными кредитами при Министерстве финансов Кыргызской Республики - селькохозяйственная техника</t>
  </si>
  <si>
    <t>Оплата услуг банков</t>
  </si>
  <si>
    <t>ОАО «Государственная ипотечная компания»</t>
  </si>
  <si>
    <t>26640</t>
  </si>
  <si>
    <t>Министерство финансов (капитальные вложения)</t>
  </si>
  <si>
    <t>26720</t>
  </si>
  <si>
    <t>Министерство финансов (учреждения, переданные из местного бюджета в республиканский бюджет)</t>
  </si>
  <si>
    <t>26730</t>
  </si>
  <si>
    <t>Министерство финансов (учреждения, переданные из районного бюджета в республиканский бюджет)</t>
  </si>
  <si>
    <t>26810</t>
  </si>
  <si>
    <t>27120</t>
  </si>
  <si>
    <t>28110</t>
  </si>
  <si>
    <t>Министерство экономики Кыргызской Республики (аппарат)</t>
  </si>
  <si>
    <t>28120</t>
  </si>
  <si>
    <t>Министерство экономики Кыргызской Республики (подведомственные учреждения)</t>
  </si>
  <si>
    <t>28130</t>
  </si>
  <si>
    <t>Министерство экономики Кыргызской Республики (торговые представительства)</t>
  </si>
  <si>
    <t>28220</t>
  </si>
  <si>
    <t>Центр "единого окна" в сфере внешней торговли при Министерстве экономики Кыргызской Республики</t>
  </si>
  <si>
    <t>28320</t>
  </si>
  <si>
    <t>Центр по стандартизации и метрологии при Министерстве экономики Кыргызской Республики</t>
  </si>
  <si>
    <t>28420</t>
  </si>
  <si>
    <t>Кыргызский центр аккредитации при Министерстве экономики Кыргызской Республики</t>
  </si>
  <si>
    <t>28620</t>
  </si>
  <si>
    <t>Департамент по делам банкротства при Министерстве экономики Кыргызской Республики</t>
  </si>
  <si>
    <t>32120</t>
  </si>
  <si>
    <t>Государственная служба исполнения наказаний при Правительстве Кыргызской Республики</t>
  </si>
  <si>
    <t>32320</t>
  </si>
  <si>
    <t>Департамент по охране и конвоированию при Государственной службе исполнения наказаний при Правительстве Кыргызской Республики</t>
  </si>
  <si>
    <t>34110</t>
  </si>
  <si>
    <t>Министерство образования и науки Кыргызской Республики (аппарат)</t>
  </si>
  <si>
    <t>34121</t>
  </si>
  <si>
    <t>Министерство образования и науки Кыргызской Республики (подведомственные учреждения образования и культуры)</t>
  </si>
  <si>
    <t>34130</t>
  </si>
  <si>
    <t>Министерство образования и науки Кыргызской Республики (подведомственные учреждения по науке)</t>
  </si>
  <si>
    <t>34310</t>
  </si>
  <si>
    <t>Агентство начального профессионального образования при Министерстве образования и науки Кыргызской Республики (аппарат)</t>
  </si>
  <si>
    <t>34321</t>
  </si>
  <si>
    <t>Агентство начального профессионального образования при Министерстве образования и науки Кыргызской Республики (подведомственные учреждения)</t>
  </si>
  <si>
    <t>35110</t>
  </si>
  <si>
    <t>Государственная служба интеллектуальной собственности и инноваций при Правительстве Кыргызской Республики (аппарат)</t>
  </si>
  <si>
    <t>35120</t>
  </si>
  <si>
    <t>Государственная служба интеллектуальной собственности и инноваций при Правительстве Кыргызской Республики (подведомственные учреждения)</t>
  </si>
  <si>
    <t>37110</t>
  </si>
  <si>
    <t>Министерство здравоохранения Кыргызской Республики (аппарат)</t>
  </si>
  <si>
    <t>37121</t>
  </si>
  <si>
    <t>38110</t>
  </si>
  <si>
    <t>Министерство труда и социального развития Кыргызской Республики(аппарат)</t>
  </si>
  <si>
    <t>38121</t>
  </si>
  <si>
    <t>Министерство труда и социального развития Кыргызской Республики (подведомственные учреждения)</t>
  </si>
  <si>
    <t>39120</t>
  </si>
  <si>
    <t>Академия государственного управления при Президенте Кыргызской Республики</t>
  </si>
  <si>
    <t>40120</t>
  </si>
  <si>
    <t>Общественное объединение "Республиканский Совет ветеранов войны, вооруженных сил, правоохранительных органов и тружеников тыла Кыргызской Республики"</t>
  </si>
  <si>
    <t>41110</t>
  </si>
  <si>
    <t>Министерство сельского хозяйства, пищевой промышленности и мелиорации Кыргызской Республики (аппарат)</t>
  </si>
  <si>
    <t>41121</t>
  </si>
  <si>
    <t>Министерство сельского хозяйства, пищевой промышленности и мелиорации Кыргызской Республики (подведомственные учреждения)</t>
  </si>
  <si>
    <t>41210</t>
  </si>
  <si>
    <t>Департамент водного хозяйства и мелиорации Министерства сельского хозяйства, пищевой промышленности и мелиорации Кыргызской Республики  (аппарат)</t>
  </si>
  <si>
    <t>41221</t>
  </si>
  <si>
    <t>Департамент водного хозяйства  и мелиорации Министерства сельского хозяйства, пищевой промышленности и мелиорации Кыргызской Республики  (подведомственные учреждения)</t>
  </si>
  <si>
    <t>41321</t>
  </si>
  <si>
    <t>Министерство сельского хозяйства, пищевой промышленности и мелиорации Кыргызской Республики (районные управления аграрного развития)</t>
  </si>
  <si>
    <t>41420</t>
  </si>
  <si>
    <t>Государственный проектный институт по землеустройству "Кыргызгипрозем" Кыргызской Республики</t>
  </si>
  <si>
    <t>43110</t>
  </si>
  <si>
    <t>Министерство транспорта и дорог Кыргызской Республики (аппарат)</t>
  </si>
  <si>
    <t>43210</t>
  </si>
  <si>
    <t>Департамент дорожного хозяйства при Министерстве транспорта и дорог Кыргызской Республики (аппарат)</t>
  </si>
  <si>
    <t>43220</t>
  </si>
  <si>
    <t>Департамент дорожного хозяйства при Министерстве транспорта и дорог Кыргызской Республики (подведомственные учреждения)</t>
  </si>
  <si>
    <t>43320</t>
  </si>
  <si>
    <t>Агентство гражданской авиации при Министерстве транспорта и дорог Кыргызской Республики</t>
  </si>
  <si>
    <t>Агентство автомобильного, водного транспорта и весогабаритного контроля при Министерстве транспорта и дорог Кыргызской Республики (аппарат)</t>
  </si>
  <si>
    <t>Агентство автомобильного, водного транспорта и весогабаритного контроля при Министерстве транспорта и дорог Кыргызской Республики (подведомственные учреждения)</t>
  </si>
  <si>
    <t>43821</t>
  </si>
  <si>
    <t>Кыргызский авиационный институт им.И.Абдраимова</t>
  </si>
  <si>
    <t>44110</t>
  </si>
  <si>
    <t>Министерство культуры, информации и туризма Кыргызской Республики (аппарат)</t>
  </si>
  <si>
    <t>44121</t>
  </si>
  <si>
    <t>Министерство культуры, информации и туризма Кыргызской Республики (подведомственные учреждения)</t>
  </si>
  <si>
    <t>44210</t>
  </si>
  <si>
    <t>Департамент туризма при Министерстве культуры, информации и туризма Кыргызской Республики (аппарат)</t>
  </si>
  <si>
    <t>44320</t>
  </si>
  <si>
    <t>Комитет по государственным премиям Кыргызской Республики имени Токтогула</t>
  </si>
  <si>
    <t>44410</t>
  </si>
  <si>
    <t>Департамент кинематографии при Министерстве культуры, информации и туризма Кыргызской Республики (аппарат)</t>
  </si>
  <si>
    <t>44420</t>
  </si>
  <si>
    <t>Департамент кинематографии при Министерстве культуры, информации и туризма Кыргызской Республики (подведомственные учреждения)</t>
  </si>
  <si>
    <t>44521</t>
  </si>
  <si>
    <t>Кыргызское национальное информационное агентство "Кабар"</t>
  </si>
  <si>
    <t>44710</t>
  </si>
  <si>
    <t>Департамент информации и массовых коммуникаций при Министерстве культуры, информации и туризма Кыргызской Республики (аппарат)</t>
  </si>
  <si>
    <t>44721</t>
  </si>
  <si>
    <t>Департамент информации и массовых коммуникаций при Министерстве культуры, информации и туризма Кыргызской Республики (подведомственные учреждения)</t>
  </si>
  <si>
    <t>44731</t>
  </si>
  <si>
    <t>Департамент информации и массовых коммуникаций при Министерстве культуры, информации и туризма Кыргызской Республики (областные и районные редакции газет)</t>
  </si>
  <si>
    <t>44741</t>
  </si>
  <si>
    <t>Департамент информации и массовых коммуникаций при Министерстве культуры, информации и туризма Кыргызской Республики (областные телерадиокомпании)</t>
  </si>
  <si>
    <t>44821</t>
  </si>
  <si>
    <t>Кыргызский национальный комплекс "Манас Ордо"</t>
  </si>
  <si>
    <t>45110</t>
  </si>
  <si>
    <t>Министерство чрезвычайных ситуаций Кыргызской Республики (аппарат)</t>
  </si>
  <si>
    <t>45121</t>
  </si>
  <si>
    <t>Министерство чрезвычайных ситуаций Кыргызской Республики (подведомственные учреждения)</t>
  </si>
  <si>
    <t>45151</t>
  </si>
  <si>
    <t>Министерство чрезвычайных ситуаций Кыргызской Республики (специальные фонды по предупреждению и ликвидации последствий чрезвычайных ситуаций)</t>
  </si>
  <si>
    <t>45420</t>
  </si>
  <si>
    <t>Агентство по гидрометеорологии при Министерстве чрезвычайных ситуаций Кыргызской Республики</t>
  </si>
  <si>
    <t>46120</t>
  </si>
  <si>
    <t>47110</t>
  </si>
  <si>
    <t>Государственная налоговая служба при Правительстве Кыргызской Республики (аппарат)</t>
  </si>
  <si>
    <t>47120</t>
  </si>
  <si>
    <t>Государственная налоговая служба при Правительстве Кыргызской Республики (подведомственные учреждения)</t>
  </si>
  <si>
    <t>48110</t>
  </si>
  <si>
    <t>Государственная таможенная служба при Правительстве Кыргызской Республики (аппарат)</t>
  </si>
  <si>
    <t>48120</t>
  </si>
  <si>
    <t>Государственная таможенная служба при Правительстве Кыргызской Республики (подведомственные учреждения)</t>
  </si>
  <si>
    <t>49120</t>
  </si>
  <si>
    <t>Центральное правление "Кыргызского общества слепых и глухих"</t>
  </si>
  <si>
    <t>50121</t>
  </si>
  <si>
    <t>Национальная комиссия по государственному языку при Президенте Кыргызской Республики</t>
  </si>
  <si>
    <t>51110</t>
  </si>
  <si>
    <t>Государственное агентство по делам местного самоуправления и межэтнических отношений при Правительстве Кыргызской Республики (аппарат)</t>
  </si>
  <si>
    <t>52110</t>
  </si>
  <si>
    <t>Государственное агентство охраны окружающей среды и лесного хозяйства при Правительстве Кыргызской Республики (аппарат)</t>
  </si>
  <si>
    <t>52120</t>
  </si>
  <si>
    <t>Государственное агентство охраны окружающей среды и лесного хозяйства при Правительстве Кыргызской Республики (подведомственные учреждения)</t>
  </si>
  <si>
    <t>53110</t>
  </si>
  <si>
    <t>Государственная регистрационная служба при Правительстве Кыргызской Республики (аппарат)</t>
  </si>
  <si>
    <t>53120</t>
  </si>
  <si>
    <t>Государственная регистрационная служба при Правительстве Кыргызской Республики (подведомственные учреждения)</t>
  </si>
  <si>
    <t>53310</t>
  </si>
  <si>
    <t>Архивное агентство при Государственной регистрационной службе при Правительстве Кыргызской Республики (аппарат)</t>
  </si>
  <si>
    <t>53320</t>
  </si>
  <si>
    <t>Архивное агентство при Государственной регистрационной службе при Правительстве Кыргызской Республики (подведомственные учреждения)</t>
  </si>
  <si>
    <t>54110</t>
  </si>
  <si>
    <t>Государственная инспекция по экологической и технической безопасности при Правительстве Кыргызской Республики (аппарат)</t>
  </si>
  <si>
    <t>54120</t>
  </si>
  <si>
    <t>Государственная инспекция по экологической и технической безопасности при Правительстве Кыргызской Республики (подведомственные учреждения)</t>
  </si>
  <si>
    <t>55110</t>
  </si>
  <si>
    <t>Государственный комитет промышленности, энергетики и недропользования Кыргызской Республики (аппарат)</t>
  </si>
  <si>
    <t>55221</t>
  </si>
  <si>
    <t>Государственное предприятие "Кыргызтеплоэнерго" при Государственном комитете промышленности, энергетики и недропользования Кыргызской Республики</t>
  </si>
  <si>
    <t>55320</t>
  </si>
  <si>
    <t>Научно-исследовательский институт энергетики и экономики при Государственном комитете промышленности, энергетики и недропользования Кыргызской Республики</t>
  </si>
  <si>
    <t>55420</t>
  </si>
  <si>
    <t>Государственная картографо-геодезическая служба при Государственном комитете промышленности, энергетики и недропользования Кыргызской Республики</t>
  </si>
  <si>
    <t>56110</t>
  </si>
  <si>
    <t>Государственное агентство по делам молодежи, физической культуры и спорта при Правительстве Кыргызской Республики (аппарат)</t>
  </si>
  <si>
    <t>56121</t>
  </si>
  <si>
    <t>Государственное агентство по делам молодежи, физической культуры и спорта при Правительстве Кыргызской Республики (подведомственные учреждения)</t>
  </si>
  <si>
    <t>57110</t>
  </si>
  <si>
    <t>58110</t>
  </si>
  <si>
    <t>Государственная служба регулирования и надзора за финансовым рынком при Правительстве Кыргызской Республики (аппарат)</t>
  </si>
  <si>
    <t>58120</t>
  </si>
  <si>
    <t>Государственная служба регулирования и надзора за финансовым рынком при Правительстве Кыргызской Республики (подведомственные учреждения)</t>
  </si>
  <si>
    <t>59110</t>
  </si>
  <si>
    <t>Государственная кадровая служба Кыргызской Республики (аппарат)</t>
  </si>
  <si>
    <t>59120</t>
  </si>
  <si>
    <t>Государственная кадровая служба Кыргызской Республики (подведомственные учреждения)</t>
  </si>
  <si>
    <t>60110</t>
  </si>
  <si>
    <t>Государственное агентство архитектуры, строительства и жилищно-коммунального хозяйства при Правительстве Кыргызской Республики (аппарат)</t>
  </si>
  <si>
    <t>60120</t>
  </si>
  <si>
    <t>Государственное агентство архитектуры, строительства и жилищно-коммунального хозяйства при Правительстве Кыргызской Республики (подведомственные учреждения)</t>
  </si>
  <si>
    <t>61110</t>
  </si>
  <si>
    <t>Государственная служба по борьбе с экономическими преступлениями при Правительстве Кыргызской Республики (аппарат)</t>
  </si>
  <si>
    <t>62110</t>
  </si>
  <si>
    <t>Государственная инспекция по ветеринарной и фитосанитарной безопасности при Правительстве Кыргызской Республики (аппарат)</t>
  </si>
  <si>
    <t>62120</t>
  </si>
  <si>
    <t>Государственная инспекция по ветеринарной и фитосанитарной безопасности при Правительстве Кыргызской Республики (подведомственные учреждения)</t>
  </si>
  <si>
    <t>63110</t>
  </si>
  <si>
    <t>Государственный комитет информационных технологий и связи Кыргызской Республики (аппарат)</t>
  </si>
  <si>
    <t>63220</t>
  </si>
  <si>
    <t>Государственное агентство связи при Государственном комитете информационных технологий и связи Кыргызской Республики</t>
  </si>
  <si>
    <t>63320</t>
  </si>
  <si>
    <t>Государственная фельдъегерская служба при Государственном комитете информационных технологий и связи Кыргызской Республики</t>
  </si>
  <si>
    <t>64110</t>
  </si>
  <si>
    <t>Государственная комиссия по делам религий Кыргызской Республики (аппарат)</t>
  </si>
  <si>
    <t>64220</t>
  </si>
  <si>
    <t>Центр исследования религиозной ситуации при Государственной комиссии по делам религий Кыргызской Республики</t>
  </si>
  <si>
    <t>66110</t>
  </si>
  <si>
    <t>Центр судебного представительства Правительства Кыргызской Республики (аппарат)</t>
  </si>
  <si>
    <t>68120</t>
  </si>
  <si>
    <t>Секретариат Национальной комиссии Кыргызской Республики по делам ЮНЕСКО</t>
  </si>
  <si>
    <t>70120</t>
  </si>
  <si>
    <t>Национальный институт стратегических исследований Кыргызской Республики</t>
  </si>
  <si>
    <t>71110</t>
  </si>
  <si>
    <t>Государственная служба финансовой разведки при Правительстве Кыргызской Республики (аппарат)</t>
  </si>
  <si>
    <t>72110</t>
  </si>
  <si>
    <t>Государственное агентство антимонопольного регулирования при Правительстве Кыргызской Республики (аппарат)</t>
  </si>
  <si>
    <t>72120</t>
  </si>
  <si>
    <t>Государственное агентство антимонопольного регулирования при Правительстве Кыргызской Республики (территориальные органы)</t>
  </si>
  <si>
    <t>73110</t>
  </si>
  <si>
    <t>Государственная служба миграции при Правительстве Кыргызской Республики (аппарат)</t>
  </si>
  <si>
    <t>73131</t>
  </si>
  <si>
    <t>Представительства Государственной службы миграции при Правительстве Кыргызской Республики</t>
  </si>
  <si>
    <t>73221</t>
  </si>
  <si>
    <t>Информационно-консультационный центр при Государственной службе миграции при Правительстве Кыргызской Республики</t>
  </si>
  <si>
    <t>74110</t>
  </si>
  <si>
    <t>Национальный статистический комитет Кыргызской Республики (аппарат)</t>
  </si>
  <si>
    <t>74120</t>
  </si>
  <si>
    <t>Национальный статистический комитет Кыргызской Республики (подведомственные учреждения)</t>
  </si>
  <si>
    <t>75120</t>
  </si>
  <si>
    <t>Фонд по управлению государственным имуществом при Правительстве Кыргызской Республики</t>
  </si>
  <si>
    <t>76121</t>
  </si>
  <si>
    <t>Фонд государственных материальных резервов при Правительстве Кыргызской Республики</t>
  </si>
  <si>
    <t>77110</t>
  </si>
  <si>
    <t>Высшая аттестационная комиссия Кыргызской Республики (аппарат)</t>
  </si>
  <si>
    <t>79120</t>
  </si>
  <si>
    <t>Секретариат Совета безопасности Кыргызской Республики</t>
  </si>
  <si>
    <t>80120</t>
  </si>
  <si>
    <t>Национальная академия наук Кыргызской Республики</t>
  </si>
  <si>
    <t>81120</t>
  </si>
  <si>
    <t>Клиническая больница Управления делами Президента и Правительства Кыргызской Республики</t>
  </si>
  <si>
    <t>82110</t>
  </si>
  <si>
    <t>Национальный центр Кыргызской Республики по предупреждению пыток и других жестоких, бесчеловечных или унижающих достоинство видов обращения и наказания (аппарат)</t>
  </si>
  <si>
    <t>83120</t>
  </si>
  <si>
    <t>Государственное агентство по регулированию топливно-энергетического комплекса при Правительстве Кыргызской Республики</t>
  </si>
  <si>
    <t>84120</t>
  </si>
  <si>
    <t>Редакция газеты "Эркин-Тоо"</t>
  </si>
  <si>
    <t>85121</t>
  </si>
  <si>
    <t>Общественная телерадиовещательная корпорация Кыргызской Республики</t>
  </si>
  <si>
    <t>85221</t>
  </si>
  <si>
    <t>Национальный филиал межгосударственной телерадиовещательной компании "Мир" в Кыргызской Республике</t>
  </si>
  <si>
    <t>85321</t>
  </si>
  <si>
    <t>Государственная телерадиовещательная компания Кыргызской Республики "ЭлТР"</t>
  </si>
  <si>
    <t>86110</t>
  </si>
  <si>
    <t xml:space="preserve">Государственная судебно-экспертная служба при Правительстве Кыргызской Республики (аппарат)	</t>
  </si>
  <si>
    <t>87120</t>
  </si>
  <si>
    <t>Государственное учреждение "Кыргызтест"</t>
  </si>
  <si>
    <t>Министерство здравоохранения Кыргызской Республики (подведомственные учреждения)</t>
  </si>
  <si>
    <t>45221</t>
  </si>
  <si>
    <t>Государственное агентство "Сельводзащита" при Министерстве чрезвычайных ситуаций Кыргызской Республики</t>
  </si>
  <si>
    <t>Министерство финансов Кыргызской Республики (ПГИ)</t>
  </si>
  <si>
    <t>Министерство экономики Кыргызской Республики (ПГИ)</t>
  </si>
  <si>
    <t>Министерство образования и науки Кыргызской Республики (ПГИ)</t>
  </si>
  <si>
    <t>Министерство здравоохранения Кыргызской Республики (ПГИ)</t>
  </si>
  <si>
    <t>Министерство сельского хозяйства, пищевой промышленности и мелиорации Кыргызской Республики (ПГИ)</t>
  </si>
  <si>
    <t>Министерство транспорта и дорог Кыргызской Республики (ПГИ)</t>
  </si>
  <si>
    <t>Государственный комитет промышленности, энергетики и недропользования Кыргызской Республики (ПГИ)</t>
  </si>
  <si>
    <t>Государственное агентство по делам местного самоуправления и межэтнических отношений при Правительстве Кыргызской Республики (ПГИ)</t>
  </si>
  <si>
    <t>Фонд по управлению государственным имуществом при Правительстве Кыргызской Республики (ПГИ)</t>
  </si>
  <si>
    <t xml:space="preserve">Ведущий специалист отдела прогнозирования </t>
  </si>
  <si>
    <t>денежной наличности и регистрации контрактов</t>
  </si>
  <si>
    <t>Переходящие остатки от Кассового плана на лицевых счетах бюджетных учреждений</t>
  </si>
  <si>
    <t>28520</t>
  </si>
  <si>
    <t>Институт исследований экономической политики при Министерстве экономики Кыргызской Республики</t>
  </si>
  <si>
    <t>Национальная академия "Манас" и Чингиза Айтматова</t>
  </si>
  <si>
    <t>Государственное агенство водных ресурсов при ПКР (аппарат)</t>
  </si>
  <si>
    <t>Государственное агенство водных ресурсов при ПКР (подведомственные учреждения)</t>
  </si>
  <si>
    <t>Государственное агентство по земельным ресурсам при Правительстве Кыргызской Республики (аппарат)</t>
  </si>
  <si>
    <t xml:space="preserve">Заведующий отделом прогнозирования </t>
  </si>
  <si>
    <t>Сумма (тыс. сом)</t>
  </si>
  <si>
    <t>наим. главн. распоряд-теля бюдж. ср.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</si>
</sst>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"/>
    <numFmt numFmtId="168" formatCode="#,##0.0000"/>
    <numFmt numFmtId="169" formatCode="#,##0.0\ _₽"/>
  </numFmts>
  <fonts count="33" x14ac:knownFonts="1">
    <font>
      <sz val="8"/>
      <name val="Arial"/>
      <family val="2"/>
      <charset val="1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8"/>
      <color rgb="FF0070C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6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64"/>
      </right>
      <top style="thin">
        <color indexed="17"/>
      </top>
      <bottom style="thin">
        <color indexed="64"/>
      </bottom>
      <diagonal/>
    </border>
    <border>
      <left style="thin">
        <color indexed="17"/>
      </left>
      <right/>
      <top style="thin">
        <color indexed="17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64"/>
      </bottom>
      <diagonal/>
    </border>
    <border>
      <left style="thin">
        <color indexed="64"/>
      </left>
      <right style="thin">
        <color indexed="17"/>
      </right>
      <top style="thin">
        <color indexed="17"/>
      </top>
      <bottom style="thin">
        <color indexed="64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64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thin">
        <color indexed="64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1917">
    <xf numFmtId="0" fontId="0" fillId="0" borderId="0"/>
    <xf numFmtId="0" fontId="2" fillId="0" borderId="0"/>
    <xf numFmtId="0" fontId="19" fillId="0" borderId="0"/>
    <xf numFmtId="165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0" xfId="0" applyFont="1" applyFill="1"/>
    <xf numFmtId="167" fontId="5" fillId="2" borderId="0" xfId="0" applyNumberFormat="1" applyFont="1" applyFill="1"/>
    <xf numFmtId="0" fontId="5" fillId="0" borderId="0" xfId="0" applyFont="1" applyFill="1"/>
    <xf numFmtId="0" fontId="5" fillId="2" borderId="0" xfId="0" applyFont="1" applyFill="1" applyAlignment="1">
      <alignment horizontal="left" vertical="top"/>
    </xf>
    <xf numFmtId="167" fontId="5" fillId="2" borderId="0" xfId="0" applyNumberFormat="1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167" fontId="6" fillId="2" borderId="0" xfId="0" applyNumberFormat="1" applyFont="1" applyFill="1" applyAlignment="1">
      <alignment horizontal="left" vertical="top" wrapText="1"/>
    </xf>
    <xf numFmtId="167" fontId="6" fillId="2" borderId="0" xfId="0" applyNumberFormat="1" applyFont="1" applyFill="1" applyAlignment="1">
      <alignment horizontal="left" vertical="top"/>
    </xf>
    <xf numFmtId="3" fontId="7" fillId="2" borderId="0" xfId="0" applyNumberFormat="1" applyFont="1" applyFill="1"/>
    <xf numFmtId="167" fontId="4" fillId="0" borderId="1" xfId="0" applyNumberFormat="1" applyFont="1" applyBorder="1"/>
    <xf numFmtId="167" fontId="4" fillId="0" borderId="1" xfId="0" applyNumberFormat="1" applyFont="1" applyFill="1" applyBorder="1" applyAlignment="1">
      <alignment horizontal="right" vertical="top"/>
    </xf>
    <xf numFmtId="167" fontId="4" fillId="0" borderId="0" xfId="0" applyNumberFormat="1" applyFont="1" applyFill="1" applyBorder="1" applyAlignment="1">
      <alignment horizontal="right" vertical="top"/>
    </xf>
    <xf numFmtId="0" fontId="5" fillId="2" borderId="1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/>
    <xf numFmtId="167" fontId="10" fillId="2" borderId="0" xfId="0" applyNumberFormat="1" applyFont="1" applyFill="1"/>
    <xf numFmtId="0" fontId="10" fillId="2" borderId="0" xfId="0" applyFont="1" applyFill="1"/>
    <xf numFmtId="0" fontId="10" fillId="0" borderId="0" xfId="0" applyFont="1" applyFill="1"/>
    <xf numFmtId="167" fontId="11" fillId="2" borderId="0" xfId="0" applyNumberFormat="1" applyFont="1" applyFill="1"/>
    <xf numFmtId="168" fontId="11" fillId="2" borderId="0" xfId="0" applyNumberFormat="1" applyFont="1" applyFill="1"/>
    <xf numFmtId="167" fontId="12" fillId="2" borderId="0" xfId="0" applyNumberFormat="1" applyFont="1" applyFill="1"/>
    <xf numFmtId="0" fontId="12" fillId="2" borderId="0" xfId="0" applyFont="1" applyFill="1"/>
    <xf numFmtId="0" fontId="10" fillId="2" borderId="0" xfId="0" applyFont="1" applyFill="1" applyAlignment="1">
      <alignment horizontal="left" vertical="top"/>
    </xf>
    <xf numFmtId="167" fontId="10" fillId="2" borderId="0" xfId="0" applyNumberFormat="1" applyFont="1" applyFill="1" applyAlignment="1">
      <alignment horizontal="left" vertical="top" wrapText="1"/>
    </xf>
    <xf numFmtId="167" fontId="13" fillId="2" borderId="0" xfId="0" applyNumberFormat="1" applyFont="1" applyFill="1"/>
    <xf numFmtId="168" fontId="13" fillId="2" borderId="0" xfId="0" applyNumberFormat="1" applyFont="1" applyFill="1"/>
    <xf numFmtId="167" fontId="7" fillId="2" borderId="0" xfId="0" applyNumberFormat="1" applyFont="1" applyFill="1"/>
    <xf numFmtId="0" fontId="7" fillId="2" borderId="0" xfId="0" applyFont="1" applyFill="1"/>
    <xf numFmtId="167" fontId="8" fillId="0" borderId="1" xfId="0" applyNumberFormat="1" applyFont="1" applyBorder="1" applyAlignment="1">
      <alignment vertical="top"/>
    </xf>
    <xf numFmtId="167" fontId="8" fillId="0" borderId="2" xfId="0" applyNumberFormat="1" applyFont="1" applyFill="1" applyBorder="1" applyAlignment="1">
      <alignment horizontal="right" vertical="top"/>
    </xf>
    <xf numFmtId="167" fontId="8" fillId="0" borderId="3" xfId="0" applyNumberFormat="1" applyFont="1" applyFill="1" applyBorder="1" applyAlignment="1">
      <alignment horizontal="right" vertical="top"/>
    </xf>
    <xf numFmtId="167" fontId="8" fillId="0" borderId="4" xfId="0" applyNumberFormat="1" applyFont="1" applyFill="1" applyBorder="1" applyAlignment="1">
      <alignment horizontal="right" vertical="top"/>
    </xf>
    <xf numFmtId="168" fontId="8" fillId="0" borderId="4" xfId="0" applyNumberFormat="1" applyFont="1" applyFill="1" applyBorder="1" applyAlignment="1">
      <alignment horizontal="right" vertical="top"/>
    </xf>
    <xf numFmtId="0" fontId="8" fillId="0" borderId="4" xfId="0" applyFont="1" applyFill="1" applyBorder="1" applyAlignment="1">
      <alignment horizontal="left" vertical="top" wrapText="1" indent="2"/>
    </xf>
    <xf numFmtId="0" fontId="8" fillId="0" borderId="5" xfId="0" applyFont="1" applyFill="1" applyBorder="1" applyAlignment="1">
      <alignment horizontal="left" vertical="top"/>
    </xf>
    <xf numFmtId="167" fontId="4" fillId="0" borderId="1" xfId="0" applyNumberFormat="1" applyFont="1" applyBorder="1" applyAlignment="1">
      <alignment vertical="top"/>
    </xf>
    <xf numFmtId="167" fontId="5" fillId="2" borderId="1" xfId="0" applyNumberFormat="1" applyFont="1" applyFill="1" applyBorder="1" applyAlignment="1">
      <alignment horizontal="right" vertical="top"/>
    </xf>
    <xf numFmtId="167" fontId="4" fillId="3" borderId="6" xfId="0" applyNumberFormat="1" applyFont="1" applyFill="1" applyBorder="1" applyAlignment="1">
      <alignment horizontal="right" vertical="top"/>
    </xf>
    <xf numFmtId="167" fontId="4" fillId="3" borderId="7" xfId="0" applyNumberFormat="1" applyFont="1" applyFill="1" applyBorder="1" applyAlignment="1">
      <alignment horizontal="right" vertical="top"/>
    </xf>
    <xf numFmtId="167" fontId="4" fillId="0" borderId="7" xfId="0" applyNumberFormat="1" applyFont="1" applyFill="1" applyBorder="1" applyAlignment="1">
      <alignment horizontal="right" vertical="top"/>
    </xf>
    <xf numFmtId="168" fontId="4" fillId="0" borderId="7" xfId="0" applyNumberFormat="1" applyFont="1" applyFill="1" applyBorder="1" applyAlignment="1">
      <alignment horizontal="right" vertical="top"/>
    </xf>
    <xf numFmtId="0" fontId="4" fillId="0" borderId="7" xfId="0" applyFont="1" applyFill="1" applyBorder="1" applyAlignment="1">
      <alignment horizontal="left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vertical="top"/>
    </xf>
    <xf numFmtId="0" fontId="4" fillId="0" borderId="8" xfId="0" applyFont="1" applyFill="1" applyBorder="1" applyAlignment="1">
      <alignment horizontal="center" vertical="top" wrapText="1"/>
    </xf>
    <xf numFmtId="167" fontId="5" fillId="0" borderId="1" xfId="0" applyNumberFormat="1" applyFont="1" applyFill="1" applyBorder="1" applyAlignment="1">
      <alignment horizontal="right" vertical="top"/>
    </xf>
    <xf numFmtId="0" fontId="4" fillId="3" borderId="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/>
    </xf>
    <xf numFmtId="167" fontId="14" fillId="0" borderId="7" xfId="0" applyNumberFormat="1" applyFont="1" applyFill="1" applyBorder="1" applyAlignment="1">
      <alignment horizontal="right" vertical="top"/>
    </xf>
    <xf numFmtId="0" fontId="14" fillId="2" borderId="0" xfId="0" applyFont="1" applyFill="1" applyBorder="1" applyAlignment="1">
      <alignment vertical="top"/>
    </xf>
    <xf numFmtId="168" fontId="14" fillId="0" borderId="7" xfId="0" applyNumberFormat="1" applyFont="1" applyFill="1" applyBorder="1" applyAlignment="1">
      <alignment horizontal="right" vertical="top"/>
    </xf>
    <xf numFmtId="0" fontId="14" fillId="0" borderId="7" xfId="0" applyFont="1" applyFill="1" applyBorder="1" applyAlignment="1">
      <alignment horizontal="left" vertical="top" wrapText="1"/>
    </xf>
    <xf numFmtId="1" fontId="14" fillId="0" borderId="8" xfId="0" applyNumberFormat="1" applyFont="1" applyFill="1" applyBorder="1" applyAlignment="1">
      <alignment horizontal="center" vertical="top" wrapText="1"/>
    </xf>
    <xf numFmtId="167" fontId="6" fillId="2" borderId="1" xfId="0" applyNumberFormat="1" applyFont="1" applyFill="1" applyBorder="1" applyAlignment="1">
      <alignment horizontal="right" vertical="top"/>
    </xf>
    <xf numFmtId="0" fontId="8" fillId="0" borderId="1" xfId="0" applyFont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167" fontId="6" fillId="2" borderId="10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2" fontId="6" fillId="2" borderId="0" xfId="0" applyNumberFormat="1" applyFont="1" applyFill="1" applyAlignment="1">
      <alignment vertical="center" wrapText="1"/>
    </xf>
    <xf numFmtId="167" fontId="4" fillId="0" borderId="1" xfId="1" applyNumberFormat="1" applyFont="1" applyBorder="1"/>
    <xf numFmtId="167" fontId="4" fillId="0" borderId="3" xfId="0" applyNumberFormat="1" applyFont="1" applyFill="1" applyBorder="1" applyAlignment="1">
      <alignment horizontal="right" vertical="top"/>
    </xf>
    <xf numFmtId="167" fontId="4" fillId="0" borderId="4" xfId="0" applyNumberFormat="1" applyFont="1" applyFill="1" applyBorder="1" applyAlignment="1">
      <alignment horizontal="right" vertical="top"/>
    </xf>
    <xf numFmtId="0" fontId="8" fillId="0" borderId="5" xfId="0" applyFont="1" applyFill="1" applyBorder="1" applyAlignment="1">
      <alignment horizontal="left" vertical="top" wrapText="1"/>
    </xf>
    <xf numFmtId="167" fontId="4" fillId="0" borderId="12" xfId="1" applyNumberFormat="1" applyFont="1" applyBorder="1"/>
    <xf numFmtId="167" fontId="4" fillId="0" borderId="6" xfId="0" applyNumberFormat="1" applyFont="1" applyFill="1" applyBorder="1" applyAlignment="1">
      <alignment horizontal="right" vertical="top"/>
    </xf>
    <xf numFmtId="0" fontId="4" fillId="0" borderId="8" xfId="0" applyFont="1" applyFill="1" applyBorder="1" applyAlignment="1">
      <alignment horizontal="left" vertical="top" wrapText="1"/>
    </xf>
    <xf numFmtId="167" fontId="8" fillId="0" borderId="1" xfId="0" applyNumberFormat="1" applyFont="1" applyBorder="1"/>
    <xf numFmtId="167" fontId="8" fillId="0" borderId="1" xfId="0" applyNumberFormat="1" applyFont="1" applyFill="1" applyBorder="1" applyAlignment="1">
      <alignment horizontal="right" vertical="top"/>
    </xf>
    <xf numFmtId="167" fontId="8" fillId="0" borderId="6" xfId="0" applyNumberFormat="1" applyFont="1" applyFill="1" applyBorder="1" applyAlignment="1">
      <alignment horizontal="right" vertical="top"/>
    </xf>
    <xf numFmtId="167" fontId="8" fillId="0" borderId="7" xfId="0" applyNumberFormat="1" applyFont="1" applyFill="1" applyBorder="1" applyAlignment="1">
      <alignment horizontal="right" vertical="top"/>
    </xf>
    <xf numFmtId="0" fontId="8" fillId="0" borderId="8" xfId="0" applyFont="1" applyFill="1" applyBorder="1" applyAlignment="1">
      <alignment horizontal="left" vertical="top" wrapText="1"/>
    </xf>
    <xf numFmtId="49" fontId="15" fillId="0" borderId="10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>
      <alignment horizontal="center" vertical="center" wrapText="1"/>
    </xf>
    <xf numFmtId="167" fontId="15" fillId="0" borderId="10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7" fillId="2" borderId="0" xfId="0" applyFont="1" applyFill="1"/>
    <xf numFmtId="167" fontId="17" fillId="2" borderId="0" xfId="0" applyNumberFormat="1" applyFont="1" applyFill="1"/>
    <xf numFmtId="0" fontId="17" fillId="0" borderId="0" xfId="0" applyFont="1" applyFill="1"/>
    <xf numFmtId="0" fontId="17" fillId="2" borderId="0" xfId="0" applyFont="1" applyFill="1" applyAlignment="1">
      <alignment horizontal="left" vertical="top"/>
    </xf>
    <xf numFmtId="167" fontId="17" fillId="2" borderId="0" xfId="0" applyNumberFormat="1" applyFont="1" applyFill="1" applyAlignment="1">
      <alignment horizontal="left" vertical="top" wrapText="1"/>
    </xf>
    <xf numFmtId="0" fontId="18" fillId="2" borderId="0" xfId="0" applyFont="1" applyFill="1"/>
    <xf numFmtId="167" fontId="10" fillId="2" borderId="0" xfId="0" applyNumberFormat="1" applyFont="1" applyFill="1" applyAlignment="1">
      <alignment horizontal="left" vertical="top"/>
    </xf>
    <xf numFmtId="167" fontId="7" fillId="0" borderId="7" xfId="0" applyNumberFormat="1" applyFont="1" applyFill="1" applyBorder="1" applyAlignment="1">
      <alignment horizontal="right" vertical="top"/>
    </xf>
    <xf numFmtId="167" fontId="4" fillId="0" borderId="0" xfId="0" applyNumberFormat="1" applyFont="1"/>
    <xf numFmtId="167" fontId="4" fillId="0" borderId="12" xfId="1" applyNumberFormat="1" applyFont="1" applyBorder="1" applyAlignment="1">
      <alignment vertical="top"/>
    </xf>
    <xf numFmtId="0" fontId="9" fillId="3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167" fontId="10" fillId="0" borderId="0" xfId="0" applyNumberFormat="1" applyFont="1" applyFill="1"/>
    <xf numFmtId="167" fontId="8" fillId="0" borderId="1" xfId="0" applyNumberFormat="1" applyFont="1" applyFill="1" applyBorder="1"/>
    <xf numFmtId="167" fontId="4" fillId="0" borderId="1" xfId="0" applyNumberFormat="1" applyFont="1" applyFill="1" applyBorder="1"/>
    <xf numFmtId="167" fontId="4" fillId="0" borderId="1" xfId="0" applyNumberFormat="1" applyFont="1" applyFill="1" applyBorder="1" applyAlignment="1">
      <alignment vertical="top"/>
    </xf>
    <xf numFmtId="167" fontId="4" fillId="0" borderId="1" xfId="1" applyNumberFormat="1" applyFont="1" applyFill="1" applyBorder="1"/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justify" vertical="center"/>
    </xf>
    <xf numFmtId="0" fontId="8" fillId="0" borderId="1" xfId="0" applyFont="1" applyFill="1" applyBorder="1" applyAlignment="1">
      <alignment horizontal="center" vertical="center" wrapText="1"/>
    </xf>
    <xf numFmtId="0" fontId="26" fillId="0" borderId="0" xfId="0" applyFont="1"/>
    <xf numFmtId="167" fontId="18" fillId="2" borderId="0" xfId="0" applyNumberFormat="1" applyFont="1" applyFill="1" applyAlignment="1">
      <alignment horizontal="left" vertical="top" wrapText="1"/>
    </xf>
    <xf numFmtId="167" fontId="18" fillId="2" borderId="0" xfId="0" applyNumberFormat="1" applyFont="1" applyFill="1" applyAlignment="1">
      <alignment horizontal="left" vertical="top"/>
    </xf>
    <xf numFmtId="49" fontId="15" fillId="0" borderId="13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167" fontId="6" fillId="0" borderId="1" xfId="0" applyNumberFormat="1" applyFont="1" applyFill="1" applyBorder="1" applyAlignment="1">
      <alignment horizontal="right" vertical="top"/>
    </xf>
    <xf numFmtId="167" fontId="5" fillId="3" borderId="1" xfId="0" applyNumberFormat="1" applyFont="1" applyFill="1" applyBorder="1" applyAlignment="1">
      <alignment horizontal="right" vertical="top"/>
    </xf>
    <xf numFmtId="0" fontId="25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left" vertical="top"/>
    </xf>
    <xf numFmtId="3" fontId="7" fillId="0" borderId="0" xfId="0" applyNumberFormat="1" applyFont="1" applyFill="1"/>
    <xf numFmtId="0" fontId="26" fillId="0" borderId="0" xfId="0" applyFont="1" applyFill="1"/>
    <xf numFmtId="49" fontId="15" fillId="0" borderId="1" xfId="0" applyNumberFormat="1" applyFont="1" applyFill="1" applyBorder="1" applyAlignment="1">
      <alignment horizontal="center" vertical="center" wrapText="1"/>
    </xf>
    <xf numFmtId="0" fontId="29" fillId="3" borderId="14" xfId="0" applyNumberFormat="1" applyFont="1" applyFill="1" applyBorder="1" applyAlignment="1" applyProtection="1">
      <alignment horizontal="center" vertical="center" wrapText="1"/>
    </xf>
    <xf numFmtId="0" fontId="29" fillId="3" borderId="14" xfId="0" applyNumberFormat="1" applyFont="1" applyFill="1" applyBorder="1" applyAlignment="1" applyProtection="1">
      <alignment vertical="center" wrapText="1"/>
    </xf>
    <xf numFmtId="0" fontId="29" fillId="3" borderId="1" xfId="0" applyNumberFormat="1" applyFont="1" applyFill="1" applyBorder="1" applyAlignment="1" applyProtection="1">
      <alignment horizontal="center" vertical="center" wrapText="1"/>
    </xf>
    <xf numFmtId="0" fontId="29" fillId="3" borderId="1" xfId="0" applyNumberFormat="1" applyFont="1" applyFill="1" applyBorder="1" applyAlignment="1" applyProtection="1">
      <alignment vertical="center" wrapText="1"/>
    </xf>
    <xf numFmtId="0" fontId="31" fillId="0" borderId="0" xfId="0" applyFont="1"/>
    <xf numFmtId="0" fontId="31" fillId="0" borderId="1" xfId="0" applyFont="1" applyFill="1" applyBorder="1" applyAlignment="1">
      <alignment horizontal="left" vertical="top" wrapText="1"/>
    </xf>
    <xf numFmtId="167" fontId="31" fillId="0" borderId="1" xfId="0" applyNumberFormat="1" applyFont="1" applyFill="1" applyBorder="1" applyAlignment="1">
      <alignment horizontal="right" vertical="top"/>
    </xf>
    <xf numFmtId="0" fontId="30" fillId="0" borderId="1" xfId="0" applyFont="1" applyFill="1" applyBorder="1" applyAlignment="1">
      <alignment horizontal="center" vertical="center" wrapText="1"/>
    </xf>
    <xf numFmtId="167" fontId="30" fillId="0" borderId="1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left" vertical="top"/>
    </xf>
    <xf numFmtId="0" fontId="28" fillId="0" borderId="12" xfId="0" applyFont="1" applyFill="1" applyBorder="1" applyAlignment="1">
      <alignment horizontal="center" vertical="center" wrapText="1"/>
    </xf>
    <xf numFmtId="167" fontId="31" fillId="0" borderId="1" xfId="0" applyNumberFormat="1" applyFont="1" applyBorder="1" applyAlignment="1">
      <alignment vertical="top"/>
    </xf>
    <xf numFmtId="167" fontId="31" fillId="0" borderId="1" xfId="0" applyNumberFormat="1" applyFont="1" applyFill="1" applyBorder="1" applyAlignment="1">
      <alignment vertical="top"/>
    </xf>
    <xf numFmtId="169" fontId="31" fillId="0" borderId="1" xfId="0" applyNumberFormat="1" applyFont="1" applyBorder="1" applyAlignment="1">
      <alignment vertical="top"/>
    </xf>
    <xf numFmtId="169" fontId="32" fillId="0" borderId="1" xfId="0" applyNumberFormat="1" applyFont="1" applyBorder="1" applyAlignment="1">
      <alignment vertical="top"/>
    </xf>
    <xf numFmtId="167" fontId="27" fillId="0" borderId="0" xfId="0" applyNumberFormat="1" applyFont="1"/>
    <xf numFmtId="0" fontId="8" fillId="0" borderId="1" xfId="0" applyFont="1" applyFill="1" applyBorder="1" applyAlignment="1">
      <alignment horizontal="center" vertical="center" wrapText="1"/>
    </xf>
    <xf numFmtId="0" fontId="27" fillId="0" borderId="0" xfId="0" applyFont="1"/>
    <xf numFmtId="0" fontId="31" fillId="0" borderId="12" xfId="0" applyFont="1" applyFill="1" applyBorder="1" applyAlignment="1">
      <alignment horizontal="center" vertical="top" wrapText="1"/>
    </xf>
    <xf numFmtId="49" fontId="31" fillId="0" borderId="12" xfId="0" applyNumberFormat="1" applyFont="1" applyFill="1" applyBorder="1" applyAlignment="1">
      <alignment horizontal="center" vertical="top" wrapText="1"/>
    </xf>
    <xf numFmtId="0" fontId="18" fillId="2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2" fontId="6" fillId="2" borderId="0" xfId="0" applyNumberFormat="1" applyFont="1" applyFill="1" applyAlignment="1">
      <alignment horizontal="center" vertical="center" wrapText="1"/>
    </xf>
  </cellXfs>
  <cellStyles count="1917">
    <cellStyle name="Comma" xfId="1" builtinId="3"/>
    <cellStyle name="Normal" xfId="0" builtinId="0"/>
    <cellStyle name="TableStyleLight1" xfId="2" xr:uid="{00000000-0005-0000-0000-000000000000}"/>
    <cellStyle name="Денежный 2" xfId="3" xr:uid="{00000000-0005-0000-0000-000001000000}"/>
    <cellStyle name="Обычный 10" xfId="4" xr:uid="{00000000-0005-0000-0000-000003000000}"/>
    <cellStyle name="Обычный 10 10" xfId="5" xr:uid="{00000000-0005-0000-0000-000004000000}"/>
    <cellStyle name="Обычный 10 10 2" xfId="6" xr:uid="{00000000-0005-0000-0000-000005000000}"/>
    <cellStyle name="Обычный 10 10 3" xfId="7" xr:uid="{00000000-0005-0000-0000-000006000000}"/>
    <cellStyle name="Обычный 10 11" xfId="8" xr:uid="{00000000-0005-0000-0000-000007000000}"/>
    <cellStyle name="Обычный 10 11 2" xfId="9" xr:uid="{00000000-0005-0000-0000-000008000000}"/>
    <cellStyle name="Обычный 10 11 3" xfId="10" xr:uid="{00000000-0005-0000-0000-000009000000}"/>
    <cellStyle name="Обычный 10 12" xfId="11" xr:uid="{00000000-0005-0000-0000-00000A000000}"/>
    <cellStyle name="Обычный 10 12 2" xfId="12" xr:uid="{00000000-0005-0000-0000-00000B000000}"/>
    <cellStyle name="Обычный 10 12 3" xfId="13" xr:uid="{00000000-0005-0000-0000-00000C000000}"/>
    <cellStyle name="Обычный 10 13" xfId="14" xr:uid="{00000000-0005-0000-0000-00000D000000}"/>
    <cellStyle name="Обычный 10 13 2" xfId="15" xr:uid="{00000000-0005-0000-0000-00000E000000}"/>
    <cellStyle name="Обычный 10 13 3" xfId="16" xr:uid="{00000000-0005-0000-0000-00000F000000}"/>
    <cellStyle name="Обычный 10 14" xfId="17" xr:uid="{00000000-0005-0000-0000-000010000000}"/>
    <cellStyle name="Обычный 10 14 2" xfId="18" xr:uid="{00000000-0005-0000-0000-000011000000}"/>
    <cellStyle name="Обычный 10 14 3" xfId="19" xr:uid="{00000000-0005-0000-0000-000012000000}"/>
    <cellStyle name="Обычный 10 15" xfId="20" xr:uid="{00000000-0005-0000-0000-000013000000}"/>
    <cellStyle name="Обычный 10 15 2" xfId="21" xr:uid="{00000000-0005-0000-0000-000014000000}"/>
    <cellStyle name="Обычный 10 15 3" xfId="22" xr:uid="{00000000-0005-0000-0000-000015000000}"/>
    <cellStyle name="Обычный 10 16" xfId="23" xr:uid="{00000000-0005-0000-0000-000016000000}"/>
    <cellStyle name="Обычный 10 16 2" xfId="24" xr:uid="{00000000-0005-0000-0000-000017000000}"/>
    <cellStyle name="Обычный 10 16 3" xfId="25" xr:uid="{00000000-0005-0000-0000-000018000000}"/>
    <cellStyle name="Обычный 10 17" xfId="26" xr:uid="{00000000-0005-0000-0000-000019000000}"/>
    <cellStyle name="Обычный 10 17 2" xfId="27" xr:uid="{00000000-0005-0000-0000-00001A000000}"/>
    <cellStyle name="Обычный 10 17 3" xfId="28" xr:uid="{00000000-0005-0000-0000-00001B000000}"/>
    <cellStyle name="Обычный 10 18" xfId="29" xr:uid="{00000000-0005-0000-0000-00001C000000}"/>
    <cellStyle name="Обычный 10 18 2" xfId="30" xr:uid="{00000000-0005-0000-0000-00001D000000}"/>
    <cellStyle name="Обычный 10 19" xfId="31" xr:uid="{00000000-0005-0000-0000-00001E000000}"/>
    <cellStyle name="Обычный 10 2" xfId="32" xr:uid="{00000000-0005-0000-0000-00001F000000}"/>
    <cellStyle name="Обычный 10 2 2" xfId="33" xr:uid="{00000000-0005-0000-0000-000020000000}"/>
    <cellStyle name="Обычный 10 2 3" xfId="34" xr:uid="{00000000-0005-0000-0000-000021000000}"/>
    <cellStyle name="Обычный 10 2 4" xfId="35" xr:uid="{00000000-0005-0000-0000-000022000000}"/>
    <cellStyle name="Обычный 10 20" xfId="36" xr:uid="{00000000-0005-0000-0000-000023000000}"/>
    <cellStyle name="Обычный 10 3" xfId="37" xr:uid="{00000000-0005-0000-0000-000024000000}"/>
    <cellStyle name="Обычный 10 3 2" xfId="38" xr:uid="{00000000-0005-0000-0000-000025000000}"/>
    <cellStyle name="Обычный 10 3 3" xfId="39" xr:uid="{00000000-0005-0000-0000-000026000000}"/>
    <cellStyle name="Обычный 10 4" xfId="40" xr:uid="{00000000-0005-0000-0000-000027000000}"/>
    <cellStyle name="Обычный 10 4 2" xfId="41" xr:uid="{00000000-0005-0000-0000-000028000000}"/>
    <cellStyle name="Обычный 10 4 3" xfId="42" xr:uid="{00000000-0005-0000-0000-000029000000}"/>
    <cellStyle name="Обычный 10 5" xfId="43" xr:uid="{00000000-0005-0000-0000-00002A000000}"/>
    <cellStyle name="Обычный 10 5 2" xfId="44" xr:uid="{00000000-0005-0000-0000-00002B000000}"/>
    <cellStyle name="Обычный 10 5 3" xfId="45" xr:uid="{00000000-0005-0000-0000-00002C000000}"/>
    <cellStyle name="Обычный 10 6" xfId="46" xr:uid="{00000000-0005-0000-0000-00002D000000}"/>
    <cellStyle name="Обычный 10 6 2" xfId="47" xr:uid="{00000000-0005-0000-0000-00002E000000}"/>
    <cellStyle name="Обычный 10 6 3" xfId="48" xr:uid="{00000000-0005-0000-0000-00002F000000}"/>
    <cellStyle name="Обычный 10 7" xfId="49" xr:uid="{00000000-0005-0000-0000-000030000000}"/>
    <cellStyle name="Обычный 10 7 2" xfId="50" xr:uid="{00000000-0005-0000-0000-000031000000}"/>
    <cellStyle name="Обычный 10 7 3" xfId="51" xr:uid="{00000000-0005-0000-0000-000032000000}"/>
    <cellStyle name="Обычный 10 8" xfId="52" xr:uid="{00000000-0005-0000-0000-000033000000}"/>
    <cellStyle name="Обычный 10 8 2" xfId="53" xr:uid="{00000000-0005-0000-0000-000034000000}"/>
    <cellStyle name="Обычный 10 8 3" xfId="54" xr:uid="{00000000-0005-0000-0000-000035000000}"/>
    <cellStyle name="Обычный 10 9" xfId="55" xr:uid="{00000000-0005-0000-0000-000036000000}"/>
    <cellStyle name="Обычный 10 9 2" xfId="56" xr:uid="{00000000-0005-0000-0000-000037000000}"/>
    <cellStyle name="Обычный 10 9 3" xfId="57" xr:uid="{00000000-0005-0000-0000-000038000000}"/>
    <cellStyle name="Обычный 11" xfId="58" xr:uid="{00000000-0005-0000-0000-000039000000}"/>
    <cellStyle name="Обычный 11 2" xfId="59" xr:uid="{00000000-0005-0000-0000-00003A000000}"/>
    <cellStyle name="Обычный 12" xfId="60" xr:uid="{00000000-0005-0000-0000-00003B000000}"/>
    <cellStyle name="Обычный 12 2" xfId="61" xr:uid="{00000000-0005-0000-0000-00003C000000}"/>
    <cellStyle name="Обычный 12 2 2" xfId="62" xr:uid="{00000000-0005-0000-0000-00003D000000}"/>
    <cellStyle name="Обычный 12 3" xfId="63" xr:uid="{00000000-0005-0000-0000-00003E000000}"/>
    <cellStyle name="Обычный 13" xfId="64" xr:uid="{00000000-0005-0000-0000-00003F000000}"/>
    <cellStyle name="Обычный 13 10" xfId="65" xr:uid="{00000000-0005-0000-0000-000040000000}"/>
    <cellStyle name="Обычный 13 10 2" xfId="66" xr:uid="{00000000-0005-0000-0000-000041000000}"/>
    <cellStyle name="Обычный 13 10 3" xfId="67" xr:uid="{00000000-0005-0000-0000-000042000000}"/>
    <cellStyle name="Обычный 13 11" xfId="68" xr:uid="{00000000-0005-0000-0000-000043000000}"/>
    <cellStyle name="Обычный 13 11 2" xfId="69" xr:uid="{00000000-0005-0000-0000-000044000000}"/>
    <cellStyle name="Обычный 13 11 3" xfId="70" xr:uid="{00000000-0005-0000-0000-000045000000}"/>
    <cellStyle name="Обычный 13 12" xfId="71" xr:uid="{00000000-0005-0000-0000-000046000000}"/>
    <cellStyle name="Обычный 13 12 2" xfId="72" xr:uid="{00000000-0005-0000-0000-000047000000}"/>
    <cellStyle name="Обычный 13 12 3" xfId="73" xr:uid="{00000000-0005-0000-0000-000048000000}"/>
    <cellStyle name="Обычный 13 13" xfId="74" xr:uid="{00000000-0005-0000-0000-000049000000}"/>
    <cellStyle name="Обычный 13 13 2" xfId="75" xr:uid="{00000000-0005-0000-0000-00004A000000}"/>
    <cellStyle name="Обычный 13 13 3" xfId="76" xr:uid="{00000000-0005-0000-0000-00004B000000}"/>
    <cellStyle name="Обычный 13 14" xfId="77" xr:uid="{00000000-0005-0000-0000-00004C000000}"/>
    <cellStyle name="Обычный 13 14 2" xfId="78" xr:uid="{00000000-0005-0000-0000-00004D000000}"/>
    <cellStyle name="Обычный 13 14 3" xfId="79" xr:uid="{00000000-0005-0000-0000-00004E000000}"/>
    <cellStyle name="Обычный 13 15" xfId="80" xr:uid="{00000000-0005-0000-0000-00004F000000}"/>
    <cellStyle name="Обычный 13 15 2" xfId="81" xr:uid="{00000000-0005-0000-0000-000050000000}"/>
    <cellStyle name="Обычный 13 15 3" xfId="82" xr:uid="{00000000-0005-0000-0000-000051000000}"/>
    <cellStyle name="Обычный 13 16" xfId="83" xr:uid="{00000000-0005-0000-0000-000052000000}"/>
    <cellStyle name="Обычный 13 16 2" xfId="84" xr:uid="{00000000-0005-0000-0000-000053000000}"/>
    <cellStyle name="Обычный 13 16 3" xfId="85" xr:uid="{00000000-0005-0000-0000-000054000000}"/>
    <cellStyle name="Обычный 13 17" xfId="86" xr:uid="{00000000-0005-0000-0000-000055000000}"/>
    <cellStyle name="Обычный 13 17 2" xfId="87" xr:uid="{00000000-0005-0000-0000-000056000000}"/>
    <cellStyle name="Обычный 13 17 3" xfId="88" xr:uid="{00000000-0005-0000-0000-000057000000}"/>
    <cellStyle name="Обычный 13 18" xfId="89" xr:uid="{00000000-0005-0000-0000-000058000000}"/>
    <cellStyle name="Обычный 13 18 2" xfId="90" xr:uid="{00000000-0005-0000-0000-000059000000}"/>
    <cellStyle name="Обычный 13 19" xfId="91" xr:uid="{00000000-0005-0000-0000-00005A000000}"/>
    <cellStyle name="Обычный 13 2" xfId="92" xr:uid="{00000000-0005-0000-0000-00005B000000}"/>
    <cellStyle name="Обычный 13 2 2" xfId="93" xr:uid="{00000000-0005-0000-0000-00005C000000}"/>
    <cellStyle name="Обычный 13 2 3" xfId="94" xr:uid="{00000000-0005-0000-0000-00005D000000}"/>
    <cellStyle name="Обычный 13 2 4" xfId="95" xr:uid="{00000000-0005-0000-0000-00005E000000}"/>
    <cellStyle name="Обычный 13 20" xfId="96" xr:uid="{00000000-0005-0000-0000-00005F000000}"/>
    <cellStyle name="Обычный 13 3" xfId="97" xr:uid="{00000000-0005-0000-0000-000060000000}"/>
    <cellStyle name="Обычный 13 3 2" xfId="98" xr:uid="{00000000-0005-0000-0000-000061000000}"/>
    <cellStyle name="Обычный 13 3 3" xfId="99" xr:uid="{00000000-0005-0000-0000-000062000000}"/>
    <cellStyle name="Обычный 13 4" xfId="100" xr:uid="{00000000-0005-0000-0000-000063000000}"/>
    <cellStyle name="Обычный 13 4 2" xfId="101" xr:uid="{00000000-0005-0000-0000-000064000000}"/>
    <cellStyle name="Обычный 13 4 3" xfId="102" xr:uid="{00000000-0005-0000-0000-000065000000}"/>
    <cellStyle name="Обычный 13 5" xfId="103" xr:uid="{00000000-0005-0000-0000-000066000000}"/>
    <cellStyle name="Обычный 13 5 2" xfId="104" xr:uid="{00000000-0005-0000-0000-000067000000}"/>
    <cellStyle name="Обычный 13 5 3" xfId="105" xr:uid="{00000000-0005-0000-0000-000068000000}"/>
    <cellStyle name="Обычный 13 6" xfId="106" xr:uid="{00000000-0005-0000-0000-000069000000}"/>
    <cellStyle name="Обычный 13 6 2" xfId="107" xr:uid="{00000000-0005-0000-0000-00006A000000}"/>
    <cellStyle name="Обычный 13 6 3" xfId="108" xr:uid="{00000000-0005-0000-0000-00006B000000}"/>
    <cellStyle name="Обычный 13 7" xfId="109" xr:uid="{00000000-0005-0000-0000-00006C000000}"/>
    <cellStyle name="Обычный 13 7 2" xfId="110" xr:uid="{00000000-0005-0000-0000-00006D000000}"/>
    <cellStyle name="Обычный 13 7 3" xfId="111" xr:uid="{00000000-0005-0000-0000-00006E000000}"/>
    <cellStyle name="Обычный 13 8" xfId="112" xr:uid="{00000000-0005-0000-0000-00006F000000}"/>
    <cellStyle name="Обычный 13 8 2" xfId="113" xr:uid="{00000000-0005-0000-0000-000070000000}"/>
    <cellStyle name="Обычный 13 8 3" xfId="114" xr:uid="{00000000-0005-0000-0000-000071000000}"/>
    <cellStyle name="Обычный 13 9" xfId="115" xr:uid="{00000000-0005-0000-0000-000072000000}"/>
    <cellStyle name="Обычный 13 9 2" xfId="116" xr:uid="{00000000-0005-0000-0000-000073000000}"/>
    <cellStyle name="Обычный 13 9 3" xfId="117" xr:uid="{00000000-0005-0000-0000-000074000000}"/>
    <cellStyle name="Обычный 14" xfId="118" xr:uid="{00000000-0005-0000-0000-000075000000}"/>
    <cellStyle name="Обычный 14 2" xfId="119" xr:uid="{00000000-0005-0000-0000-000076000000}"/>
    <cellStyle name="Обычный 14 2 2" xfId="120" xr:uid="{00000000-0005-0000-0000-000077000000}"/>
    <cellStyle name="Обычный 14 3" xfId="121" xr:uid="{00000000-0005-0000-0000-000078000000}"/>
    <cellStyle name="Обычный 15" xfId="122" xr:uid="{00000000-0005-0000-0000-000079000000}"/>
    <cellStyle name="Обычный 15 10" xfId="123" xr:uid="{00000000-0005-0000-0000-00007A000000}"/>
    <cellStyle name="Обычный 15 10 2" xfId="124" xr:uid="{00000000-0005-0000-0000-00007B000000}"/>
    <cellStyle name="Обычный 15 10 3" xfId="125" xr:uid="{00000000-0005-0000-0000-00007C000000}"/>
    <cellStyle name="Обычный 15 11" xfId="126" xr:uid="{00000000-0005-0000-0000-00007D000000}"/>
    <cellStyle name="Обычный 15 11 2" xfId="127" xr:uid="{00000000-0005-0000-0000-00007E000000}"/>
    <cellStyle name="Обычный 15 11 3" xfId="128" xr:uid="{00000000-0005-0000-0000-00007F000000}"/>
    <cellStyle name="Обычный 15 12" xfId="129" xr:uid="{00000000-0005-0000-0000-000080000000}"/>
    <cellStyle name="Обычный 15 12 2" xfId="130" xr:uid="{00000000-0005-0000-0000-000081000000}"/>
    <cellStyle name="Обычный 15 12 3" xfId="131" xr:uid="{00000000-0005-0000-0000-000082000000}"/>
    <cellStyle name="Обычный 15 13" xfId="132" xr:uid="{00000000-0005-0000-0000-000083000000}"/>
    <cellStyle name="Обычный 15 13 2" xfId="133" xr:uid="{00000000-0005-0000-0000-000084000000}"/>
    <cellStyle name="Обычный 15 13 3" xfId="134" xr:uid="{00000000-0005-0000-0000-000085000000}"/>
    <cellStyle name="Обычный 15 14" xfId="135" xr:uid="{00000000-0005-0000-0000-000086000000}"/>
    <cellStyle name="Обычный 15 14 2" xfId="136" xr:uid="{00000000-0005-0000-0000-000087000000}"/>
    <cellStyle name="Обычный 15 14 3" xfId="137" xr:uid="{00000000-0005-0000-0000-000088000000}"/>
    <cellStyle name="Обычный 15 15" xfId="138" xr:uid="{00000000-0005-0000-0000-000089000000}"/>
    <cellStyle name="Обычный 15 15 2" xfId="139" xr:uid="{00000000-0005-0000-0000-00008A000000}"/>
    <cellStyle name="Обычный 15 15 3" xfId="140" xr:uid="{00000000-0005-0000-0000-00008B000000}"/>
    <cellStyle name="Обычный 15 16" xfId="141" xr:uid="{00000000-0005-0000-0000-00008C000000}"/>
    <cellStyle name="Обычный 15 16 2" xfId="142" xr:uid="{00000000-0005-0000-0000-00008D000000}"/>
    <cellStyle name="Обычный 15 16 3" xfId="143" xr:uid="{00000000-0005-0000-0000-00008E000000}"/>
    <cellStyle name="Обычный 15 17" xfId="144" xr:uid="{00000000-0005-0000-0000-00008F000000}"/>
    <cellStyle name="Обычный 15 17 2" xfId="145" xr:uid="{00000000-0005-0000-0000-000090000000}"/>
    <cellStyle name="Обычный 15 17 3" xfId="146" xr:uid="{00000000-0005-0000-0000-000091000000}"/>
    <cellStyle name="Обычный 15 18" xfId="147" xr:uid="{00000000-0005-0000-0000-000092000000}"/>
    <cellStyle name="Обычный 15 18 2" xfId="148" xr:uid="{00000000-0005-0000-0000-000093000000}"/>
    <cellStyle name="Обычный 15 19" xfId="149" xr:uid="{00000000-0005-0000-0000-000094000000}"/>
    <cellStyle name="Обычный 15 2" xfId="150" xr:uid="{00000000-0005-0000-0000-000095000000}"/>
    <cellStyle name="Обычный 15 2 2" xfId="151" xr:uid="{00000000-0005-0000-0000-000096000000}"/>
    <cellStyle name="Обычный 15 2 3" xfId="152" xr:uid="{00000000-0005-0000-0000-000097000000}"/>
    <cellStyle name="Обычный 15 2 4" xfId="153" xr:uid="{00000000-0005-0000-0000-000098000000}"/>
    <cellStyle name="Обычный 15 20" xfId="154" xr:uid="{00000000-0005-0000-0000-000099000000}"/>
    <cellStyle name="Обычный 15 3" xfId="155" xr:uid="{00000000-0005-0000-0000-00009A000000}"/>
    <cellStyle name="Обычный 15 3 2" xfId="156" xr:uid="{00000000-0005-0000-0000-00009B000000}"/>
    <cellStyle name="Обычный 15 3 3" xfId="157" xr:uid="{00000000-0005-0000-0000-00009C000000}"/>
    <cellStyle name="Обычный 15 4" xfId="158" xr:uid="{00000000-0005-0000-0000-00009D000000}"/>
    <cellStyle name="Обычный 15 4 2" xfId="159" xr:uid="{00000000-0005-0000-0000-00009E000000}"/>
    <cellStyle name="Обычный 15 4 3" xfId="160" xr:uid="{00000000-0005-0000-0000-00009F000000}"/>
    <cellStyle name="Обычный 15 5" xfId="161" xr:uid="{00000000-0005-0000-0000-0000A0000000}"/>
    <cellStyle name="Обычный 15 5 2" xfId="162" xr:uid="{00000000-0005-0000-0000-0000A1000000}"/>
    <cellStyle name="Обычный 15 5 3" xfId="163" xr:uid="{00000000-0005-0000-0000-0000A2000000}"/>
    <cellStyle name="Обычный 15 6" xfId="164" xr:uid="{00000000-0005-0000-0000-0000A3000000}"/>
    <cellStyle name="Обычный 15 6 2" xfId="165" xr:uid="{00000000-0005-0000-0000-0000A4000000}"/>
    <cellStyle name="Обычный 15 6 3" xfId="166" xr:uid="{00000000-0005-0000-0000-0000A5000000}"/>
    <cellStyle name="Обычный 15 7" xfId="167" xr:uid="{00000000-0005-0000-0000-0000A6000000}"/>
    <cellStyle name="Обычный 15 7 2" xfId="168" xr:uid="{00000000-0005-0000-0000-0000A7000000}"/>
    <cellStyle name="Обычный 15 7 3" xfId="169" xr:uid="{00000000-0005-0000-0000-0000A8000000}"/>
    <cellStyle name="Обычный 15 8" xfId="170" xr:uid="{00000000-0005-0000-0000-0000A9000000}"/>
    <cellStyle name="Обычный 15 8 2" xfId="171" xr:uid="{00000000-0005-0000-0000-0000AA000000}"/>
    <cellStyle name="Обычный 15 8 3" xfId="172" xr:uid="{00000000-0005-0000-0000-0000AB000000}"/>
    <cellStyle name="Обычный 15 9" xfId="173" xr:uid="{00000000-0005-0000-0000-0000AC000000}"/>
    <cellStyle name="Обычный 15 9 2" xfId="174" xr:uid="{00000000-0005-0000-0000-0000AD000000}"/>
    <cellStyle name="Обычный 15 9 3" xfId="175" xr:uid="{00000000-0005-0000-0000-0000AE000000}"/>
    <cellStyle name="Обычный 16" xfId="176" xr:uid="{00000000-0005-0000-0000-0000AF000000}"/>
    <cellStyle name="Обычный 16 10" xfId="177" xr:uid="{00000000-0005-0000-0000-0000B0000000}"/>
    <cellStyle name="Обычный 16 10 2" xfId="178" xr:uid="{00000000-0005-0000-0000-0000B1000000}"/>
    <cellStyle name="Обычный 16 10 3" xfId="179" xr:uid="{00000000-0005-0000-0000-0000B2000000}"/>
    <cellStyle name="Обычный 16 11" xfId="180" xr:uid="{00000000-0005-0000-0000-0000B3000000}"/>
    <cellStyle name="Обычный 16 11 2" xfId="181" xr:uid="{00000000-0005-0000-0000-0000B4000000}"/>
    <cellStyle name="Обычный 16 11 3" xfId="182" xr:uid="{00000000-0005-0000-0000-0000B5000000}"/>
    <cellStyle name="Обычный 16 12" xfId="183" xr:uid="{00000000-0005-0000-0000-0000B6000000}"/>
    <cellStyle name="Обычный 16 12 2" xfId="184" xr:uid="{00000000-0005-0000-0000-0000B7000000}"/>
    <cellStyle name="Обычный 16 12 3" xfId="185" xr:uid="{00000000-0005-0000-0000-0000B8000000}"/>
    <cellStyle name="Обычный 16 13" xfId="186" xr:uid="{00000000-0005-0000-0000-0000B9000000}"/>
    <cellStyle name="Обычный 16 13 2" xfId="187" xr:uid="{00000000-0005-0000-0000-0000BA000000}"/>
    <cellStyle name="Обычный 16 13 3" xfId="188" xr:uid="{00000000-0005-0000-0000-0000BB000000}"/>
    <cellStyle name="Обычный 16 14" xfId="189" xr:uid="{00000000-0005-0000-0000-0000BC000000}"/>
    <cellStyle name="Обычный 16 14 2" xfId="190" xr:uid="{00000000-0005-0000-0000-0000BD000000}"/>
    <cellStyle name="Обычный 16 14 3" xfId="191" xr:uid="{00000000-0005-0000-0000-0000BE000000}"/>
    <cellStyle name="Обычный 16 15" xfId="192" xr:uid="{00000000-0005-0000-0000-0000BF000000}"/>
    <cellStyle name="Обычный 16 15 2" xfId="193" xr:uid="{00000000-0005-0000-0000-0000C0000000}"/>
    <cellStyle name="Обычный 16 15 3" xfId="194" xr:uid="{00000000-0005-0000-0000-0000C1000000}"/>
    <cellStyle name="Обычный 16 16" xfId="195" xr:uid="{00000000-0005-0000-0000-0000C2000000}"/>
    <cellStyle name="Обычный 16 16 2" xfId="196" xr:uid="{00000000-0005-0000-0000-0000C3000000}"/>
    <cellStyle name="Обычный 16 16 3" xfId="197" xr:uid="{00000000-0005-0000-0000-0000C4000000}"/>
    <cellStyle name="Обычный 16 17" xfId="198" xr:uid="{00000000-0005-0000-0000-0000C5000000}"/>
    <cellStyle name="Обычный 16 17 2" xfId="199" xr:uid="{00000000-0005-0000-0000-0000C6000000}"/>
    <cellStyle name="Обычный 16 17 3" xfId="200" xr:uid="{00000000-0005-0000-0000-0000C7000000}"/>
    <cellStyle name="Обычный 16 18" xfId="201" xr:uid="{00000000-0005-0000-0000-0000C8000000}"/>
    <cellStyle name="Обычный 16 18 2" xfId="202" xr:uid="{00000000-0005-0000-0000-0000C9000000}"/>
    <cellStyle name="Обычный 16 19" xfId="203" xr:uid="{00000000-0005-0000-0000-0000CA000000}"/>
    <cellStyle name="Обычный 16 2" xfId="204" xr:uid="{00000000-0005-0000-0000-0000CB000000}"/>
    <cellStyle name="Обычный 16 2 2" xfId="205" xr:uid="{00000000-0005-0000-0000-0000CC000000}"/>
    <cellStyle name="Обычный 16 2 3" xfId="206" xr:uid="{00000000-0005-0000-0000-0000CD000000}"/>
    <cellStyle name="Обычный 16 2 4" xfId="207" xr:uid="{00000000-0005-0000-0000-0000CE000000}"/>
    <cellStyle name="Обычный 16 20" xfId="208" xr:uid="{00000000-0005-0000-0000-0000CF000000}"/>
    <cellStyle name="Обычный 16 3" xfId="209" xr:uid="{00000000-0005-0000-0000-0000D0000000}"/>
    <cellStyle name="Обычный 16 3 2" xfId="210" xr:uid="{00000000-0005-0000-0000-0000D1000000}"/>
    <cellStyle name="Обычный 16 3 3" xfId="211" xr:uid="{00000000-0005-0000-0000-0000D2000000}"/>
    <cellStyle name="Обычный 16 4" xfId="212" xr:uid="{00000000-0005-0000-0000-0000D3000000}"/>
    <cellStyle name="Обычный 16 4 2" xfId="213" xr:uid="{00000000-0005-0000-0000-0000D4000000}"/>
    <cellStyle name="Обычный 16 4 3" xfId="214" xr:uid="{00000000-0005-0000-0000-0000D5000000}"/>
    <cellStyle name="Обычный 16 5" xfId="215" xr:uid="{00000000-0005-0000-0000-0000D6000000}"/>
    <cellStyle name="Обычный 16 5 2" xfId="216" xr:uid="{00000000-0005-0000-0000-0000D7000000}"/>
    <cellStyle name="Обычный 16 5 3" xfId="217" xr:uid="{00000000-0005-0000-0000-0000D8000000}"/>
    <cellStyle name="Обычный 16 6" xfId="218" xr:uid="{00000000-0005-0000-0000-0000D9000000}"/>
    <cellStyle name="Обычный 16 6 2" xfId="219" xr:uid="{00000000-0005-0000-0000-0000DA000000}"/>
    <cellStyle name="Обычный 16 6 3" xfId="220" xr:uid="{00000000-0005-0000-0000-0000DB000000}"/>
    <cellStyle name="Обычный 16 7" xfId="221" xr:uid="{00000000-0005-0000-0000-0000DC000000}"/>
    <cellStyle name="Обычный 16 7 2" xfId="222" xr:uid="{00000000-0005-0000-0000-0000DD000000}"/>
    <cellStyle name="Обычный 16 7 3" xfId="223" xr:uid="{00000000-0005-0000-0000-0000DE000000}"/>
    <cellStyle name="Обычный 16 8" xfId="224" xr:uid="{00000000-0005-0000-0000-0000DF000000}"/>
    <cellStyle name="Обычный 16 8 2" xfId="225" xr:uid="{00000000-0005-0000-0000-0000E0000000}"/>
    <cellStyle name="Обычный 16 8 3" xfId="226" xr:uid="{00000000-0005-0000-0000-0000E1000000}"/>
    <cellStyle name="Обычный 16 9" xfId="227" xr:uid="{00000000-0005-0000-0000-0000E2000000}"/>
    <cellStyle name="Обычный 16 9 2" xfId="228" xr:uid="{00000000-0005-0000-0000-0000E3000000}"/>
    <cellStyle name="Обычный 16 9 3" xfId="229" xr:uid="{00000000-0005-0000-0000-0000E4000000}"/>
    <cellStyle name="Обычный 17" xfId="230" xr:uid="{00000000-0005-0000-0000-0000E5000000}"/>
    <cellStyle name="Обычный 17 10" xfId="231" xr:uid="{00000000-0005-0000-0000-0000E6000000}"/>
    <cellStyle name="Обычный 17 10 2" xfId="232" xr:uid="{00000000-0005-0000-0000-0000E7000000}"/>
    <cellStyle name="Обычный 17 10 3" xfId="233" xr:uid="{00000000-0005-0000-0000-0000E8000000}"/>
    <cellStyle name="Обычный 17 11" xfId="234" xr:uid="{00000000-0005-0000-0000-0000E9000000}"/>
    <cellStyle name="Обычный 17 11 2" xfId="235" xr:uid="{00000000-0005-0000-0000-0000EA000000}"/>
    <cellStyle name="Обычный 17 11 3" xfId="236" xr:uid="{00000000-0005-0000-0000-0000EB000000}"/>
    <cellStyle name="Обычный 17 12" xfId="237" xr:uid="{00000000-0005-0000-0000-0000EC000000}"/>
    <cellStyle name="Обычный 17 12 2" xfId="238" xr:uid="{00000000-0005-0000-0000-0000ED000000}"/>
    <cellStyle name="Обычный 17 12 3" xfId="239" xr:uid="{00000000-0005-0000-0000-0000EE000000}"/>
    <cellStyle name="Обычный 17 13" xfId="240" xr:uid="{00000000-0005-0000-0000-0000EF000000}"/>
    <cellStyle name="Обычный 17 13 2" xfId="241" xr:uid="{00000000-0005-0000-0000-0000F0000000}"/>
    <cellStyle name="Обычный 17 13 3" xfId="242" xr:uid="{00000000-0005-0000-0000-0000F1000000}"/>
    <cellStyle name="Обычный 17 14" xfId="243" xr:uid="{00000000-0005-0000-0000-0000F2000000}"/>
    <cellStyle name="Обычный 17 14 2" xfId="244" xr:uid="{00000000-0005-0000-0000-0000F3000000}"/>
    <cellStyle name="Обычный 17 14 3" xfId="245" xr:uid="{00000000-0005-0000-0000-0000F4000000}"/>
    <cellStyle name="Обычный 17 15" xfId="246" xr:uid="{00000000-0005-0000-0000-0000F5000000}"/>
    <cellStyle name="Обычный 17 15 2" xfId="247" xr:uid="{00000000-0005-0000-0000-0000F6000000}"/>
    <cellStyle name="Обычный 17 15 3" xfId="248" xr:uid="{00000000-0005-0000-0000-0000F7000000}"/>
    <cellStyle name="Обычный 17 16" xfId="249" xr:uid="{00000000-0005-0000-0000-0000F8000000}"/>
    <cellStyle name="Обычный 17 16 2" xfId="250" xr:uid="{00000000-0005-0000-0000-0000F9000000}"/>
    <cellStyle name="Обычный 17 16 3" xfId="251" xr:uid="{00000000-0005-0000-0000-0000FA000000}"/>
    <cellStyle name="Обычный 17 17" xfId="252" xr:uid="{00000000-0005-0000-0000-0000FB000000}"/>
    <cellStyle name="Обычный 17 17 2" xfId="253" xr:uid="{00000000-0005-0000-0000-0000FC000000}"/>
    <cellStyle name="Обычный 17 17 3" xfId="254" xr:uid="{00000000-0005-0000-0000-0000FD000000}"/>
    <cellStyle name="Обычный 17 18" xfId="255" xr:uid="{00000000-0005-0000-0000-0000FE000000}"/>
    <cellStyle name="Обычный 17 18 2" xfId="256" xr:uid="{00000000-0005-0000-0000-0000FF000000}"/>
    <cellStyle name="Обычный 17 19" xfId="257" xr:uid="{00000000-0005-0000-0000-000000010000}"/>
    <cellStyle name="Обычный 17 2" xfId="258" xr:uid="{00000000-0005-0000-0000-000001010000}"/>
    <cellStyle name="Обычный 17 2 2" xfId="259" xr:uid="{00000000-0005-0000-0000-000002010000}"/>
    <cellStyle name="Обычный 17 2 3" xfId="260" xr:uid="{00000000-0005-0000-0000-000003010000}"/>
    <cellStyle name="Обычный 17 2 4" xfId="261" xr:uid="{00000000-0005-0000-0000-000004010000}"/>
    <cellStyle name="Обычный 17 20" xfId="262" xr:uid="{00000000-0005-0000-0000-000005010000}"/>
    <cellStyle name="Обычный 17 3" xfId="263" xr:uid="{00000000-0005-0000-0000-000006010000}"/>
    <cellStyle name="Обычный 17 3 2" xfId="264" xr:uid="{00000000-0005-0000-0000-000007010000}"/>
    <cellStyle name="Обычный 17 3 3" xfId="265" xr:uid="{00000000-0005-0000-0000-000008010000}"/>
    <cellStyle name="Обычный 17 4" xfId="266" xr:uid="{00000000-0005-0000-0000-000009010000}"/>
    <cellStyle name="Обычный 17 4 2" xfId="267" xr:uid="{00000000-0005-0000-0000-00000A010000}"/>
    <cellStyle name="Обычный 17 4 3" xfId="268" xr:uid="{00000000-0005-0000-0000-00000B010000}"/>
    <cellStyle name="Обычный 17 5" xfId="269" xr:uid="{00000000-0005-0000-0000-00000C010000}"/>
    <cellStyle name="Обычный 17 5 2" xfId="270" xr:uid="{00000000-0005-0000-0000-00000D010000}"/>
    <cellStyle name="Обычный 17 5 3" xfId="271" xr:uid="{00000000-0005-0000-0000-00000E010000}"/>
    <cellStyle name="Обычный 17 6" xfId="272" xr:uid="{00000000-0005-0000-0000-00000F010000}"/>
    <cellStyle name="Обычный 17 6 2" xfId="273" xr:uid="{00000000-0005-0000-0000-000010010000}"/>
    <cellStyle name="Обычный 17 6 3" xfId="274" xr:uid="{00000000-0005-0000-0000-000011010000}"/>
    <cellStyle name="Обычный 17 7" xfId="275" xr:uid="{00000000-0005-0000-0000-000012010000}"/>
    <cellStyle name="Обычный 17 7 2" xfId="276" xr:uid="{00000000-0005-0000-0000-000013010000}"/>
    <cellStyle name="Обычный 17 7 3" xfId="277" xr:uid="{00000000-0005-0000-0000-000014010000}"/>
    <cellStyle name="Обычный 17 8" xfId="278" xr:uid="{00000000-0005-0000-0000-000015010000}"/>
    <cellStyle name="Обычный 17 8 2" xfId="279" xr:uid="{00000000-0005-0000-0000-000016010000}"/>
    <cellStyle name="Обычный 17 8 3" xfId="280" xr:uid="{00000000-0005-0000-0000-000017010000}"/>
    <cellStyle name="Обычный 17 9" xfId="281" xr:uid="{00000000-0005-0000-0000-000018010000}"/>
    <cellStyle name="Обычный 17 9 2" xfId="282" xr:uid="{00000000-0005-0000-0000-000019010000}"/>
    <cellStyle name="Обычный 17 9 3" xfId="283" xr:uid="{00000000-0005-0000-0000-00001A010000}"/>
    <cellStyle name="Обычный 18" xfId="284" xr:uid="{00000000-0005-0000-0000-00001B010000}"/>
    <cellStyle name="Обычный 18 10" xfId="285" xr:uid="{00000000-0005-0000-0000-00001C010000}"/>
    <cellStyle name="Обычный 18 10 2" xfId="286" xr:uid="{00000000-0005-0000-0000-00001D010000}"/>
    <cellStyle name="Обычный 18 10 3" xfId="287" xr:uid="{00000000-0005-0000-0000-00001E010000}"/>
    <cellStyle name="Обычный 18 11" xfId="288" xr:uid="{00000000-0005-0000-0000-00001F010000}"/>
    <cellStyle name="Обычный 18 11 2" xfId="289" xr:uid="{00000000-0005-0000-0000-000020010000}"/>
    <cellStyle name="Обычный 18 11 3" xfId="290" xr:uid="{00000000-0005-0000-0000-000021010000}"/>
    <cellStyle name="Обычный 18 12" xfId="291" xr:uid="{00000000-0005-0000-0000-000022010000}"/>
    <cellStyle name="Обычный 18 12 2" xfId="292" xr:uid="{00000000-0005-0000-0000-000023010000}"/>
    <cellStyle name="Обычный 18 12 3" xfId="293" xr:uid="{00000000-0005-0000-0000-000024010000}"/>
    <cellStyle name="Обычный 18 13" xfId="294" xr:uid="{00000000-0005-0000-0000-000025010000}"/>
    <cellStyle name="Обычный 18 13 2" xfId="295" xr:uid="{00000000-0005-0000-0000-000026010000}"/>
    <cellStyle name="Обычный 18 13 3" xfId="296" xr:uid="{00000000-0005-0000-0000-000027010000}"/>
    <cellStyle name="Обычный 18 14" xfId="297" xr:uid="{00000000-0005-0000-0000-000028010000}"/>
    <cellStyle name="Обычный 18 14 2" xfId="298" xr:uid="{00000000-0005-0000-0000-000029010000}"/>
    <cellStyle name="Обычный 18 14 3" xfId="299" xr:uid="{00000000-0005-0000-0000-00002A010000}"/>
    <cellStyle name="Обычный 18 15" xfId="300" xr:uid="{00000000-0005-0000-0000-00002B010000}"/>
    <cellStyle name="Обычный 18 15 2" xfId="301" xr:uid="{00000000-0005-0000-0000-00002C010000}"/>
    <cellStyle name="Обычный 18 15 3" xfId="302" xr:uid="{00000000-0005-0000-0000-00002D010000}"/>
    <cellStyle name="Обычный 18 16" xfId="303" xr:uid="{00000000-0005-0000-0000-00002E010000}"/>
    <cellStyle name="Обычный 18 16 2" xfId="304" xr:uid="{00000000-0005-0000-0000-00002F010000}"/>
    <cellStyle name="Обычный 18 16 3" xfId="305" xr:uid="{00000000-0005-0000-0000-000030010000}"/>
    <cellStyle name="Обычный 18 17" xfId="306" xr:uid="{00000000-0005-0000-0000-000031010000}"/>
    <cellStyle name="Обычный 18 17 2" xfId="307" xr:uid="{00000000-0005-0000-0000-000032010000}"/>
    <cellStyle name="Обычный 18 17 3" xfId="308" xr:uid="{00000000-0005-0000-0000-000033010000}"/>
    <cellStyle name="Обычный 18 18" xfId="309" xr:uid="{00000000-0005-0000-0000-000034010000}"/>
    <cellStyle name="Обычный 18 18 2" xfId="310" xr:uid="{00000000-0005-0000-0000-000035010000}"/>
    <cellStyle name="Обычный 18 19" xfId="311" xr:uid="{00000000-0005-0000-0000-000036010000}"/>
    <cellStyle name="Обычный 18 2" xfId="312" xr:uid="{00000000-0005-0000-0000-000037010000}"/>
    <cellStyle name="Обычный 18 2 2" xfId="313" xr:uid="{00000000-0005-0000-0000-000038010000}"/>
    <cellStyle name="Обычный 18 2 3" xfId="314" xr:uid="{00000000-0005-0000-0000-000039010000}"/>
    <cellStyle name="Обычный 18 2 4" xfId="315" xr:uid="{00000000-0005-0000-0000-00003A010000}"/>
    <cellStyle name="Обычный 18 20" xfId="316" xr:uid="{00000000-0005-0000-0000-00003B010000}"/>
    <cellStyle name="Обычный 18 3" xfId="317" xr:uid="{00000000-0005-0000-0000-00003C010000}"/>
    <cellStyle name="Обычный 18 3 2" xfId="318" xr:uid="{00000000-0005-0000-0000-00003D010000}"/>
    <cellStyle name="Обычный 18 3 3" xfId="319" xr:uid="{00000000-0005-0000-0000-00003E010000}"/>
    <cellStyle name="Обычный 18 4" xfId="320" xr:uid="{00000000-0005-0000-0000-00003F010000}"/>
    <cellStyle name="Обычный 18 4 2" xfId="321" xr:uid="{00000000-0005-0000-0000-000040010000}"/>
    <cellStyle name="Обычный 18 4 3" xfId="322" xr:uid="{00000000-0005-0000-0000-000041010000}"/>
    <cellStyle name="Обычный 18 5" xfId="323" xr:uid="{00000000-0005-0000-0000-000042010000}"/>
    <cellStyle name="Обычный 18 5 2" xfId="324" xr:uid="{00000000-0005-0000-0000-000043010000}"/>
    <cellStyle name="Обычный 18 5 3" xfId="325" xr:uid="{00000000-0005-0000-0000-000044010000}"/>
    <cellStyle name="Обычный 18 6" xfId="326" xr:uid="{00000000-0005-0000-0000-000045010000}"/>
    <cellStyle name="Обычный 18 6 2" xfId="327" xr:uid="{00000000-0005-0000-0000-000046010000}"/>
    <cellStyle name="Обычный 18 6 3" xfId="328" xr:uid="{00000000-0005-0000-0000-000047010000}"/>
    <cellStyle name="Обычный 18 7" xfId="329" xr:uid="{00000000-0005-0000-0000-000048010000}"/>
    <cellStyle name="Обычный 18 7 2" xfId="330" xr:uid="{00000000-0005-0000-0000-000049010000}"/>
    <cellStyle name="Обычный 18 7 3" xfId="331" xr:uid="{00000000-0005-0000-0000-00004A010000}"/>
    <cellStyle name="Обычный 18 8" xfId="332" xr:uid="{00000000-0005-0000-0000-00004B010000}"/>
    <cellStyle name="Обычный 18 8 2" xfId="333" xr:uid="{00000000-0005-0000-0000-00004C010000}"/>
    <cellStyle name="Обычный 18 8 3" xfId="334" xr:uid="{00000000-0005-0000-0000-00004D010000}"/>
    <cellStyle name="Обычный 18 9" xfId="335" xr:uid="{00000000-0005-0000-0000-00004E010000}"/>
    <cellStyle name="Обычный 18 9 2" xfId="336" xr:uid="{00000000-0005-0000-0000-00004F010000}"/>
    <cellStyle name="Обычный 18 9 3" xfId="337" xr:uid="{00000000-0005-0000-0000-000050010000}"/>
    <cellStyle name="Обычный 19" xfId="338" xr:uid="{00000000-0005-0000-0000-000051010000}"/>
    <cellStyle name="Обычный 19 10" xfId="339" xr:uid="{00000000-0005-0000-0000-000052010000}"/>
    <cellStyle name="Обычный 19 10 2" xfId="340" xr:uid="{00000000-0005-0000-0000-000053010000}"/>
    <cellStyle name="Обычный 19 10 3" xfId="341" xr:uid="{00000000-0005-0000-0000-000054010000}"/>
    <cellStyle name="Обычный 19 11" xfId="342" xr:uid="{00000000-0005-0000-0000-000055010000}"/>
    <cellStyle name="Обычный 19 11 2" xfId="343" xr:uid="{00000000-0005-0000-0000-000056010000}"/>
    <cellStyle name="Обычный 19 11 3" xfId="344" xr:uid="{00000000-0005-0000-0000-000057010000}"/>
    <cellStyle name="Обычный 19 12" xfId="345" xr:uid="{00000000-0005-0000-0000-000058010000}"/>
    <cellStyle name="Обычный 19 12 2" xfId="346" xr:uid="{00000000-0005-0000-0000-000059010000}"/>
    <cellStyle name="Обычный 19 12 3" xfId="347" xr:uid="{00000000-0005-0000-0000-00005A010000}"/>
    <cellStyle name="Обычный 19 13" xfId="348" xr:uid="{00000000-0005-0000-0000-00005B010000}"/>
    <cellStyle name="Обычный 19 13 2" xfId="349" xr:uid="{00000000-0005-0000-0000-00005C010000}"/>
    <cellStyle name="Обычный 19 13 3" xfId="350" xr:uid="{00000000-0005-0000-0000-00005D010000}"/>
    <cellStyle name="Обычный 19 14" xfId="351" xr:uid="{00000000-0005-0000-0000-00005E010000}"/>
    <cellStyle name="Обычный 19 14 2" xfId="352" xr:uid="{00000000-0005-0000-0000-00005F010000}"/>
    <cellStyle name="Обычный 19 14 3" xfId="353" xr:uid="{00000000-0005-0000-0000-000060010000}"/>
    <cellStyle name="Обычный 19 15" xfId="354" xr:uid="{00000000-0005-0000-0000-000061010000}"/>
    <cellStyle name="Обычный 19 15 2" xfId="355" xr:uid="{00000000-0005-0000-0000-000062010000}"/>
    <cellStyle name="Обычный 19 15 3" xfId="356" xr:uid="{00000000-0005-0000-0000-000063010000}"/>
    <cellStyle name="Обычный 19 16" xfId="357" xr:uid="{00000000-0005-0000-0000-000064010000}"/>
    <cellStyle name="Обычный 19 16 2" xfId="358" xr:uid="{00000000-0005-0000-0000-000065010000}"/>
    <cellStyle name="Обычный 19 16 3" xfId="359" xr:uid="{00000000-0005-0000-0000-000066010000}"/>
    <cellStyle name="Обычный 19 17" xfId="360" xr:uid="{00000000-0005-0000-0000-000067010000}"/>
    <cellStyle name="Обычный 19 17 2" xfId="361" xr:uid="{00000000-0005-0000-0000-000068010000}"/>
    <cellStyle name="Обычный 19 17 3" xfId="362" xr:uid="{00000000-0005-0000-0000-000069010000}"/>
    <cellStyle name="Обычный 19 18" xfId="363" xr:uid="{00000000-0005-0000-0000-00006A010000}"/>
    <cellStyle name="Обычный 19 18 2" xfId="364" xr:uid="{00000000-0005-0000-0000-00006B010000}"/>
    <cellStyle name="Обычный 19 19" xfId="365" xr:uid="{00000000-0005-0000-0000-00006C010000}"/>
    <cellStyle name="Обычный 19 2" xfId="366" xr:uid="{00000000-0005-0000-0000-00006D010000}"/>
    <cellStyle name="Обычный 19 2 2" xfId="367" xr:uid="{00000000-0005-0000-0000-00006E010000}"/>
    <cellStyle name="Обычный 19 2 3" xfId="368" xr:uid="{00000000-0005-0000-0000-00006F010000}"/>
    <cellStyle name="Обычный 19 2 4" xfId="369" xr:uid="{00000000-0005-0000-0000-000070010000}"/>
    <cellStyle name="Обычный 19 20" xfId="370" xr:uid="{00000000-0005-0000-0000-000071010000}"/>
    <cellStyle name="Обычный 19 3" xfId="371" xr:uid="{00000000-0005-0000-0000-000072010000}"/>
    <cellStyle name="Обычный 19 3 2" xfId="372" xr:uid="{00000000-0005-0000-0000-000073010000}"/>
    <cellStyle name="Обычный 19 3 3" xfId="373" xr:uid="{00000000-0005-0000-0000-000074010000}"/>
    <cellStyle name="Обычный 19 4" xfId="374" xr:uid="{00000000-0005-0000-0000-000075010000}"/>
    <cellStyle name="Обычный 19 4 2" xfId="375" xr:uid="{00000000-0005-0000-0000-000076010000}"/>
    <cellStyle name="Обычный 19 4 3" xfId="376" xr:uid="{00000000-0005-0000-0000-000077010000}"/>
    <cellStyle name="Обычный 19 5" xfId="377" xr:uid="{00000000-0005-0000-0000-000078010000}"/>
    <cellStyle name="Обычный 19 5 2" xfId="378" xr:uid="{00000000-0005-0000-0000-000079010000}"/>
    <cellStyle name="Обычный 19 5 3" xfId="379" xr:uid="{00000000-0005-0000-0000-00007A010000}"/>
    <cellStyle name="Обычный 19 6" xfId="380" xr:uid="{00000000-0005-0000-0000-00007B010000}"/>
    <cellStyle name="Обычный 19 6 2" xfId="381" xr:uid="{00000000-0005-0000-0000-00007C010000}"/>
    <cellStyle name="Обычный 19 6 3" xfId="382" xr:uid="{00000000-0005-0000-0000-00007D010000}"/>
    <cellStyle name="Обычный 19 7" xfId="383" xr:uid="{00000000-0005-0000-0000-00007E010000}"/>
    <cellStyle name="Обычный 19 7 2" xfId="384" xr:uid="{00000000-0005-0000-0000-00007F010000}"/>
    <cellStyle name="Обычный 19 7 3" xfId="385" xr:uid="{00000000-0005-0000-0000-000080010000}"/>
    <cellStyle name="Обычный 19 8" xfId="386" xr:uid="{00000000-0005-0000-0000-000081010000}"/>
    <cellStyle name="Обычный 19 8 2" xfId="387" xr:uid="{00000000-0005-0000-0000-000082010000}"/>
    <cellStyle name="Обычный 19 8 3" xfId="388" xr:uid="{00000000-0005-0000-0000-000083010000}"/>
    <cellStyle name="Обычный 19 9" xfId="389" xr:uid="{00000000-0005-0000-0000-000084010000}"/>
    <cellStyle name="Обычный 19 9 2" xfId="390" xr:uid="{00000000-0005-0000-0000-000085010000}"/>
    <cellStyle name="Обычный 19 9 3" xfId="391" xr:uid="{00000000-0005-0000-0000-000086010000}"/>
    <cellStyle name="Обычный 2" xfId="392" xr:uid="{00000000-0005-0000-0000-000087010000}"/>
    <cellStyle name="Обычный 2 10" xfId="393" xr:uid="{00000000-0005-0000-0000-000088010000}"/>
    <cellStyle name="Обычный 2 10 2" xfId="394" xr:uid="{00000000-0005-0000-0000-000089010000}"/>
    <cellStyle name="Обычный 2 10 3" xfId="395" xr:uid="{00000000-0005-0000-0000-00008A010000}"/>
    <cellStyle name="Обычный 2 11" xfId="396" xr:uid="{00000000-0005-0000-0000-00008B010000}"/>
    <cellStyle name="Обычный 2 11 2" xfId="397" xr:uid="{00000000-0005-0000-0000-00008C010000}"/>
    <cellStyle name="Обычный 2 11 3" xfId="398" xr:uid="{00000000-0005-0000-0000-00008D010000}"/>
    <cellStyle name="Обычный 2 12" xfId="399" xr:uid="{00000000-0005-0000-0000-00008E010000}"/>
    <cellStyle name="Обычный 2 12 2" xfId="400" xr:uid="{00000000-0005-0000-0000-00008F010000}"/>
    <cellStyle name="Обычный 2 12 3" xfId="401" xr:uid="{00000000-0005-0000-0000-000090010000}"/>
    <cellStyle name="Обычный 2 13" xfId="402" xr:uid="{00000000-0005-0000-0000-000091010000}"/>
    <cellStyle name="Обычный 2 13 2" xfId="403" xr:uid="{00000000-0005-0000-0000-000092010000}"/>
    <cellStyle name="Обычный 2 13 3" xfId="404" xr:uid="{00000000-0005-0000-0000-000093010000}"/>
    <cellStyle name="Обычный 2 14" xfId="405" xr:uid="{00000000-0005-0000-0000-000094010000}"/>
    <cellStyle name="Обычный 2 14 2" xfId="406" xr:uid="{00000000-0005-0000-0000-000095010000}"/>
    <cellStyle name="Обычный 2 14 3" xfId="407" xr:uid="{00000000-0005-0000-0000-000096010000}"/>
    <cellStyle name="Обычный 2 15" xfId="408" xr:uid="{00000000-0005-0000-0000-000097010000}"/>
    <cellStyle name="Обычный 2 15 2" xfId="409" xr:uid="{00000000-0005-0000-0000-000098010000}"/>
    <cellStyle name="Обычный 2 15 3" xfId="410" xr:uid="{00000000-0005-0000-0000-000099010000}"/>
    <cellStyle name="Обычный 2 16" xfId="411" xr:uid="{00000000-0005-0000-0000-00009A010000}"/>
    <cellStyle name="Обычный 2 16 2" xfId="412" xr:uid="{00000000-0005-0000-0000-00009B010000}"/>
    <cellStyle name="Обычный 2 16 3" xfId="413" xr:uid="{00000000-0005-0000-0000-00009C010000}"/>
    <cellStyle name="Обычный 2 17" xfId="414" xr:uid="{00000000-0005-0000-0000-00009D010000}"/>
    <cellStyle name="Обычный 2 17 2" xfId="415" xr:uid="{00000000-0005-0000-0000-00009E010000}"/>
    <cellStyle name="Обычный 2 17 3" xfId="416" xr:uid="{00000000-0005-0000-0000-00009F010000}"/>
    <cellStyle name="Обычный 2 18" xfId="417" xr:uid="{00000000-0005-0000-0000-0000A0010000}"/>
    <cellStyle name="Обычный 2 18 2" xfId="418" xr:uid="{00000000-0005-0000-0000-0000A1010000}"/>
    <cellStyle name="Обычный 2 18 3" xfId="419" xr:uid="{00000000-0005-0000-0000-0000A2010000}"/>
    <cellStyle name="Обычный 2 19" xfId="420" xr:uid="{00000000-0005-0000-0000-0000A3010000}"/>
    <cellStyle name="Обычный 2 19 2" xfId="421" xr:uid="{00000000-0005-0000-0000-0000A4010000}"/>
    <cellStyle name="Обычный 2 19 3" xfId="422" xr:uid="{00000000-0005-0000-0000-0000A5010000}"/>
    <cellStyle name="Обычный 2 2" xfId="423" xr:uid="{00000000-0005-0000-0000-0000A6010000}"/>
    <cellStyle name="Обычный 2 2 2" xfId="424" xr:uid="{00000000-0005-0000-0000-0000A7010000}"/>
    <cellStyle name="Обычный 2 2 2 10" xfId="425" xr:uid="{00000000-0005-0000-0000-0000A8010000}"/>
    <cellStyle name="Обычный 2 2 2 10 2" xfId="426" xr:uid="{00000000-0005-0000-0000-0000A9010000}"/>
    <cellStyle name="Обычный 2 2 2 10 3" xfId="427" xr:uid="{00000000-0005-0000-0000-0000AA010000}"/>
    <cellStyle name="Обычный 2 2 2 11" xfId="428" xr:uid="{00000000-0005-0000-0000-0000AB010000}"/>
    <cellStyle name="Обычный 2 2 2 11 2" xfId="429" xr:uid="{00000000-0005-0000-0000-0000AC010000}"/>
    <cellStyle name="Обычный 2 2 2 11 3" xfId="430" xr:uid="{00000000-0005-0000-0000-0000AD010000}"/>
    <cellStyle name="Обычный 2 2 2 12" xfId="431" xr:uid="{00000000-0005-0000-0000-0000AE010000}"/>
    <cellStyle name="Обычный 2 2 2 12 2" xfId="432" xr:uid="{00000000-0005-0000-0000-0000AF010000}"/>
    <cellStyle name="Обычный 2 2 2 12 3" xfId="433" xr:uid="{00000000-0005-0000-0000-0000B0010000}"/>
    <cellStyle name="Обычный 2 2 2 13" xfId="434" xr:uid="{00000000-0005-0000-0000-0000B1010000}"/>
    <cellStyle name="Обычный 2 2 2 13 2" xfId="435" xr:uid="{00000000-0005-0000-0000-0000B2010000}"/>
    <cellStyle name="Обычный 2 2 2 13 3" xfId="436" xr:uid="{00000000-0005-0000-0000-0000B3010000}"/>
    <cellStyle name="Обычный 2 2 2 14" xfId="437" xr:uid="{00000000-0005-0000-0000-0000B4010000}"/>
    <cellStyle name="Обычный 2 2 2 14 2" xfId="438" xr:uid="{00000000-0005-0000-0000-0000B5010000}"/>
    <cellStyle name="Обычный 2 2 2 14 3" xfId="439" xr:uid="{00000000-0005-0000-0000-0000B6010000}"/>
    <cellStyle name="Обычный 2 2 2 15" xfId="440" xr:uid="{00000000-0005-0000-0000-0000B7010000}"/>
    <cellStyle name="Обычный 2 2 2 15 2" xfId="441" xr:uid="{00000000-0005-0000-0000-0000B8010000}"/>
    <cellStyle name="Обычный 2 2 2 15 3" xfId="442" xr:uid="{00000000-0005-0000-0000-0000B9010000}"/>
    <cellStyle name="Обычный 2 2 2 16" xfId="443" xr:uid="{00000000-0005-0000-0000-0000BA010000}"/>
    <cellStyle name="Обычный 2 2 2 16 2" xfId="444" xr:uid="{00000000-0005-0000-0000-0000BB010000}"/>
    <cellStyle name="Обычный 2 2 2 16 3" xfId="445" xr:uid="{00000000-0005-0000-0000-0000BC010000}"/>
    <cellStyle name="Обычный 2 2 2 17" xfId="446" xr:uid="{00000000-0005-0000-0000-0000BD010000}"/>
    <cellStyle name="Обычный 2 2 2 17 2" xfId="447" xr:uid="{00000000-0005-0000-0000-0000BE010000}"/>
    <cellStyle name="Обычный 2 2 2 17 3" xfId="448" xr:uid="{00000000-0005-0000-0000-0000BF010000}"/>
    <cellStyle name="Обычный 2 2 2 18" xfId="449" xr:uid="{00000000-0005-0000-0000-0000C0010000}"/>
    <cellStyle name="Обычный 2 2 2 18 2" xfId="450" xr:uid="{00000000-0005-0000-0000-0000C1010000}"/>
    <cellStyle name="Обычный 2 2 2 19" xfId="451" xr:uid="{00000000-0005-0000-0000-0000C2010000}"/>
    <cellStyle name="Обычный 2 2 2 2" xfId="452" xr:uid="{00000000-0005-0000-0000-0000C3010000}"/>
    <cellStyle name="Обычный 2 2 2 2 2" xfId="453" xr:uid="{00000000-0005-0000-0000-0000C4010000}"/>
    <cellStyle name="Обычный 2 2 2 2 3" xfId="454" xr:uid="{00000000-0005-0000-0000-0000C5010000}"/>
    <cellStyle name="Обычный 2 2 2 20" xfId="455" xr:uid="{00000000-0005-0000-0000-0000C6010000}"/>
    <cellStyle name="Обычный 2 2 2 3" xfId="456" xr:uid="{00000000-0005-0000-0000-0000C7010000}"/>
    <cellStyle name="Обычный 2 2 2 3 2" xfId="457" xr:uid="{00000000-0005-0000-0000-0000C8010000}"/>
    <cellStyle name="Обычный 2 2 2 3 3" xfId="458" xr:uid="{00000000-0005-0000-0000-0000C9010000}"/>
    <cellStyle name="Обычный 2 2 2 4" xfId="459" xr:uid="{00000000-0005-0000-0000-0000CA010000}"/>
    <cellStyle name="Обычный 2 2 2 4 2" xfId="460" xr:uid="{00000000-0005-0000-0000-0000CB010000}"/>
    <cellStyle name="Обычный 2 2 2 4 3" xfId="461" xr:uid="{00000000-0005-0000-0000-0000CC010000}"/>
    <cellStyle name="Обычный 2 2 2 5" xfId="462" xr:uid="{00000000-0005-0000-0000-0000CD010000}"/>
    <cellStyle name="Обычный 2 2 2 5 2" xfId="463" xr:uid="{00000000-0005-0000-0000-0000CE010000}"/>
    <cellStyle name="Обычный 2 2 2 5 3" xfId="464" xr:uid="{00000000-0005-0000-0000-0000CF010000}"/>
    <cellStyle name="Обычный 2 2 2 6" xfId="465" xr:uid="{00000000-0005-0000-0000-0000D0010000}"/>
    <cellStyle name="Обычный 2 2 2 6 2" xfId="466" xr:uid="{00000000-0005-0000-0000-0000D1010000}"/>
    <cellStyle name="Обычный 2 2 2 6 3" xfId="467" xr:uid="{00000000-0005-0000-0000-0000D2010000}"/>
    <cellStyle name="Обычный 2 2 2 7" xfId="468" xr:uid="{00000000-0005-0000-0000-0000D3010000}"/>
    <cellStyle name="Обычный 2 2 2 7 2" xfId="469" xr:uid="{00000000-0005-0000-0000-0000D4010000}"/>
    <cellStyle name="Обычный 2 2 2 7 3" xfId="470" xr:uid="{00000000-0005-0000-0000-0000D5010000}"/>
    <cellStyle name="Обычный 2 2 2 8" xfId="471" xr:uid="{00000000-0005-0000-0000-0000D6010000}"/>
    <cellStyle name="Обычный 2 2 2 8 2" xfId="472" xr:uid="{00000000-0005-0000-0000-0000D7010000}"/>
    <cellStyle name="Обычный 2 2 2 8 3" xfId="473" xr:uid="{00000000-0005-0000-0000-0000D8010000}"/>
    <cellStyle name="Обычный 2 2 2 9" xfId="474" xr:uid="{00000000-0005-0000-0000-0000D9010000}"/>
    <cellStyle name="Обычный 2 2 2 9 2" xfId="475" xr:uid="{00000000-0005-0000-0000-0000DA010000}"/>
    <cellStyle name="Обычный 2 2 2 9 3" xfId="476" xr:uid="{00000000-0005-0000-0000-0000DB010000}"/>
    <cellStyle name="Обычный 2 2 3" xfId="477" xr:uid="{00000000-0005-0000-0000-0000DC010000}"/>
    <cellStyle name="Обычный 2 2 4" xfId="478" xr:uid="{00000000-0005-0000-0000-0000DD010000}"/>
    <cellStyle name="Обычный 2 20" xfId="479" xr:uid="{00000000-0005-0000-0000-0000DE010000}"/>
    <cellStyle name="Обычный 2 20 2" xfId="480" xr:uid="{00000000-0005-0000-0000-0000DF010000}"/>
    <cellStyle name="Обычный 2 21" xfId="481" xr:uid="{00000000-0005-0000-0000-0000E0010000}"/>
    <cellStyle name="Обычный 2 22" xfId="482" xr:uid="{00000000-0005-0000-0000-0000E1010000}"/>
    <cellStyle name="Обычный 2 3" xfId="483" xr:uid="{00000000-0005-0000-0000-0000E2010000}"/>
    <cellStyle name="Обычный 2 4" xfId="484" xr:uid="{00000000-0005-0000-0000-0000E3010000}"/>
    <cellStyle name="Обычный 2 4 2" xfId="485" xr:uid="{00000000-0005-0000-0000-0000E4010000}"/>
    <cellStyle name="Обычный 2 4 3" xfId="486" xr:uid="{00000000-0005-0000-0000-0000E5010000}"/>
    <cellStyle name="Обычный 2 5" xfId="487" xr:uid="{00000000-0005-0000-0000-0000E6010000}"/>
    <cellStyle name="Обычный 2 5 2" xfId="488" xr:uid="{00000000-0005-0000-0000-0000E7010000}"/>
    <cellStyle name="Обычный 2 5 3" xfId="489" xr:uid="{00000000-0005-0000-0000-0000E8010000}"/>
    <cellStyle name="Обычный 2 6" xfId="490" xr:uid="{00000000-0005-0000-0000-0000E9010000}"/>
    <cellStyle name="Обычный 2 6 2" xfId="491" xr:uid="{00000000-0005-0000-0000-0000EA010000}"/>
    <cellStyle name="Обычный 2 6 3" xfId="492" xr:uid="{00000000-0005-0000-0000-0000EB010000}"/>
    <cellStyle name="Обычный 2 7" xfId="493" xr:uid="{00000000-0005-0000-0000-0000EC010000}"/>
    <cellStyle name="Обычный 2 7 2" xfId="494" xr:uid="{00000000-0005-0000-0000-0000ED010000}"/>
    <cellStyle name="Обычный 2 7 3" xfId="495" xr:uid="{00000000-0005-0000-0000-0000EE010000}"/>
    <cellStyle name="Обычный 2 8" xfId="496" xr:uid="{00000000-0005-0000-0000-0000EF010000}"/>
    <cellStyle name="Обычный 2 8 2" xfId="497" xr:uid="{00000000-0005-0000-0000-0000F0010000}"/>
    <cellStyle name="Обычный 2 8 3" xfId="498" xr:uid="{00000000-0005-0000-0000-0000F1010000}"/>
    <cellStyle name="Обычный 2 9" xfId="499" xr:uid="{00000000-0005-0000-0000-0000F2010000}"/>
    <cellStyle name="Обычный 2 9 2" xfId="500" xr:uid="{00000000-0005-0000-0000-0000F3010000}"/>
    <cellStyle name="Обычный 2 9 3" xfId="501" xr:uid="{00000000-0005-0000-0000-0000F4010000}"/>
    <cellStyle name="Обычный 20" xfId="502" xr:uid="{00000000-0005-0000-0000-0000F5010000}"/>
    <cellStyle name="Обычный 20 10" xfId="503" xr:uid="{00000000-0005-0000-0000-0000F6010000}"/>
    <cellStyle name="Обычный 20 10 2" xfId="504" xr:uid="{00000000-0005-0000-0000-0000F7010000}"/>
    <cellStyle name="Обычный 20 10 3" xfId="505" xr:uid="{00000000-0005-0000-0000-0000F8010000}"/>
    <cellStyle name="Обычный 20 11" xfId="506" xr:uid="{00000000-0005-0000-0000-0000F9010000}"/>
    <cellStyle name="Обычный 20 11 2" xfId="507" xr:uid="{00000000-0005-0000-0000-0000FA010000}"/>
    <cellStyle name="Обычный 20 11 3" xfId="508" xr:uid="{00000000-0005-0000-0000-0000FB010000}"/>
    <cellStyle name="Обычный 20 12" xfId="509" xr:uid="{00000000-0005-0000-0000-0000FC010000}"/>
    <cellStyle name="Обычный 20 12 2" xfId="510" xr:uid="{00000000-0005-0000-0000-0000FD010000}"/>
    <cellStyle name="Обычный 20 12 3" xfId="511" xr:uid="{00000000-0005-0000-0000-0000FE010000}"/>
    <cellStyle name="Обычный 20 13" xfId="512" xr:uid="{00000000-0005-0000-0000-0000FF010000}"/>
    <cellStyle name="Обычный 20 13 2" xfId="513" xr:uid="{00000000-0005-0000-0000-000000020000}"/>
    <cellStyle name="Обычный 20 13 3" xfId="514" xr:uid="{00000000-0005-0000-0000-000001020000}"/>
    <cellStyle name="Обычный 20 14" xfId="515" xr:uid="{00000000-0005-0000-0000-000002020000}"/>
    <cellStyle name="Обычный 20 14 2" xfId="516" xr:uid="{00000000-0005-0000-0000-000003020000}"/>
    <cellStyle name="Обычный 20 14 3" xfId="517" xr:uid="{00000000-0005-0000-0000-000004020000}"/>
    <cellStyle name="Обычный 20 15" xfId="518" xr:uid="{00000000-0005-0000-0000-000005020000}"/>
    <cellStyle name="Обычный 20 15 2" xfId="519" xr:uid="{00000000-0005-0000-0000-000006020000}"/>
    <cellStyle name="Обычный 20 15 3" xfId="520" xr:uid="{00000000-0005-0000-0000-000007020000}"/>
    <cellStyle name="Обычный 20 16" xfId="521" xr:uid="{00000000-0005-0000-0000-000008020000}"/>
    <cellStyle name="Обычный 20 16 2" xfId="522" xr:uid="{00000000-0005-0000-0000-000009020000}"/>
    <cellStyle name="Обычный 20 16 3" xfId="523" xr:uid="{00000000-0005-0000-0000-00000A020000}"/>
    <cellStyle name="Обычный 20 17" xfId="524" xr:uid="{00000000-0005-0000-0000-00000B020000}"/>
    <cellStyle name="Обычный 20 17 2" xfId="525" xr:uid="{00000000-0005-0000-0000-00000C020000}"/>
    <cellStyle name="Обычный 20 17 3" xfId="526" xr:uid="{00000000-0005-0000-0000-00000D020000}"/>
    <cellStyle name="Обычный 20 18" xfId="527" xr:uid="{00000000-0005-0000-0000-00000E020000}"/>
    <cellStyle name="Обычный 20 18 2" xfId="528" xr:uid="{00000000-0005-0000-0000-00000F020000}"/>
    <cellStyle name="Обычный 20 19" xfId="529" xr:uid="{00000000-0005-0000-0000-000010020000}"/>
    <cellStyle name="Обычный 20 2" xfId="530" xr:uid="{00000000-0005-0000-0000-000011020000}"/>
    <cellStyle name="Обычный 20 2 2" xfId="531" xr:uid="{00000000-0005-0000-0000-000012020000}"/>
    <cellStyle name="Обычный 20 2 3" xfId="532" xr:uid="{00000000-0005-0000-0000-000013020000}"/>
    <cellStyle name="Обычный 20 2 4" xfId="533" xr:uid="{00000000-0005-0000-0000-000014020000}"/>
    <cellStyle name="Обычный 20 20" xfId="534" xr:uid="{00000000-0005-0000-0000-000015020000}"/>
    <cellStyle name="Обычный 20 3" xfId="535" xr:uid="{00000000-0005-0000-0000-000016020000}"/>
    <cellStyle name="Обычный 20 3 2" xfId="536" xr:uid="{00000000-0005-0000-0000-000017020000}"/>
    <cellStyle name="Обычный 20 3 3" xfId="537" xr:uid="{00000000-0005-0000-0000-000018020000}"/>
    <cellStyle name="Обычный 20 4" xfId="538" xr:uid="{00000000-0005-0000-0000-000019020000}"/>
    <cellStyle name="Обычный 20 4 2" xfId="539" xr:uid="{00000000-0005-0000-0000-00001A020000}"/>
    <cellStyle name="Обычный 20 4 3" xfId="540" xr:uid="{00000000-0005-0000-0000-00001B020000}"/>
    <cellStyle name="Обычный 20 5" xfId="541" xr:uid="{00000000-0005-0000-0000-00001C020000}"/>
    <cellStyle name="Обычный 20 5 2" xfId="542" xr:uid="{00000000-0005-0000-0000-00001D020000}"/>
    <cellStyle name="Обычный 20 5 3" xfId="543" xr:uid="{00000000-0005-0000-0000-00001E020000}"/>
    <cellStyle name="Обычный 20 6" xfId="544" xr:uid="{00000000-0005-0000-0000-00001F020000}"/>
    <cellStyle name="Обычный 20 6 2" xfId="545" xr:uid="{00000000-0005-0000-0000-000020020000}"/>
    <cellStyle name="Обычный 20 6 3" xfId="546" xr:uid="{00000000-0005-0000-0000-000021020000}"/>
    <cellStyle name="Обычный 20 7" xfId="547" xr:uid="{00000000-0005-0000-0000-000022020000}"/>
    <cellStyle name="Обычный 20 7 2" xfId="548" xr:uid="{00000000-0005-0000-0000-000023020000}"/>
    <cellStyle name="Обычный 20 7 3" xfId="549" xr:uid="{00000000-0005-0000-0000-000024020000}"/>
    <cellStyle name="Обычный 20 8" xfId="550" xr:uid="{00000000-0005-0000-0000-000025020000}"/>
    <cellStyle name="Обычный 20 8 2" xfId="551" xr:uid="{00000000-0005-0000-0000-000026020000}"/>
    <cellStyle name="Обычный 20 8 3" xfId="552" xr:uid="{00000000-0005-0000-0000-000027020000}"/>
    <cellStyle name="Обычный 20 9" xfId="553" xr:uid="{00000000-0005-0000-0000-000028020000}"/>
    <cellStyle name="Обычный 20 9 2" xfId="554" xr:uid="{00000000-0005-0000-0000-000029020000}"/>
    <cellStyle name="Обычный 20 9 3" xfId="555" xr:uid="{00000000-0005-0000-0000-00002A020000}"/>
    <cellStyle name="Обычный 21" xfId="556" xr:uid="{00000000-0005-0000-0000-00002B020000}"/>
    <cellStyle name="Обычный 21 10" xfId="557" xr:uid="{00000000-0005-0000-0000-00002C020000}"/>
    <cellStyle name="Обычный 21 10 2" xfId="558" xr:uid="{00000000-0005-0000-0000-00002D020000}"/>
    <cellStyle name="Обычный 21 10 3" xfId="559" xr:uid="{00000000-0005-0000-0000-00002E020000}"/>
    <cellStyle name="Обычный 21 11" xfId="560" xr:uid="{00000000-0005-0000-0000-00002F020000}"/>
    <cellStyle name="Обычный 21 11 2" xfId="561" xr:uid="{00000000-0005-0000-0000-000030020000}"/>
    <cellStyle name="Обычный 21 11 3" xfId="562" xr:uid="{00000000-0005-0000-0000-000031020000}"/>
    <cellStyle name="Обычный 21 12" xfId="563" xr:uid="{00000000-0005-0000-0000-000032020000}"/>
    <cellStyle name="Обычный 21 12 2" xfId="564" xr:uid="{00000000-0005-0000-0000-000033020000}"/>
    <cellStyle name="Обычный 21 12 3" xfId="565" xr:uid="{00000000-0005-0000-0000-000034020000}"/>
    <cellStyle name="Обычный 21 13" xfId="566" xr:uid="{00000000-0005-0000-0000-000035020000}"/>
    <cellStyle name="Обычный 21 13 2" xfId="567" xr:uid="{00000000-0005-0000-0000-000036020000}"/>
    <cellStyle name="Обычный 21 13 3" xfId="568" xr:uid="{00000000-0005-0000-0000-000037020000}"/>
    <cellStyle name="Обычный 21 14" xfId="569" xr:uid="{00000000-0005-0000-0000-000038020000}"/>
    <cellStyle name="Обычный 21 14 2" xfId="570" xr:uid="{00000000-0005-0000-0000-000039020000}"/>
    <cellStyle name="Обычный 21 14 3" xfId="571" xr:uid="{00000000-0005-0000-0000-00003A020000}"/>
    <cellStyle name="Обычный 21 15" xfId="572" xr:uid="{00000000-0005-0000-0000-00003B020000}"/>
    <cellStyle name="Обычный 21 15 2" xfId="573" xr:uid="{00000000-0005-0000-0000-00003C020000}"/>
    <cellStyle name="Обычный 21 15 3" xfId="574" xr:uid="{00000000-0005-0000-0000-00003D020000}"/>
    <cellStyle name="Обычный 21 16" xfId="575" xr:uid="{00000000-0005-0000-0000-00003E020000}"/>
    <cellStyle name="Обычный 21 16 2" xfId="576" xr:uid="{00000000-0005-0000-0000-00003F020000}"/>
    <cellStyle name="Обычный 21 16 3" xfId="577" xr:uid="{00000000-0005-0000-0000-000040020000}"/>
    <cellStyle name="Обычный 21 17" xfId="578" xr:uid="{00000000-0005-0000-0000-000041020000}"/>
    <cellStyle name="Обычный 21 17 2" xfId="579" xr:uid="{00000000-0005-0000-0000-000042020000}"/>
    <cellStyle name="Обычный 21 17 3" xfId="580" xr:uid="{00000000-0005-0000-0000-000043020000}"/>
    <cellStyle name="Обычный 21 18" xfId="581" xr:uid="{00000000-0005-0000-0000-000044020000}"/>
    <cellStyle name="Обычный 21 18 2" xfId="582" xr:uid="{00000000-0005-0000-0000-000045020000}"/>
    <cellStyle name="Обычный 21 19" xfId="583" xr:uid="{00000000-0005-0000-0000-000046020000}"/>
    <cellStyle name="Обычный 21 2" xfId="584" xr:uid="{00000000-0005-0000-0000-000047020000}"/>
    <cellStyle name="Обычный 21 2 2" xfId="585" xr:uid="{00000000-0005-0000-0000-000048020000}"/>
    <cellStyle name="Обычный 21 2 3" xfId="586" xr:uid="{00000000-0005-0000-0000-000049020000}"/>
    <cellStyle name="Обычный 21 2 4" xfId="587" xr:uid="{00000000-0005-0000-0000-00004A020000}"/>
    <cellStyle name="Обычный 21 20" xfId="588" xr:uid="{00000000-0005-0000-0000-00004B020000}"/>
    <cellStyle name="Обычный 21 3" xfId="589" xr:uid="{00000000-0005-0000-0000-00004C020000}"/>
    <cellStyle name="Обычный 21 3 2" xfId="590" xr:uid="{00000000-0005-0000-0000-00004D020000}"/>
    <cellStyle name="Обычный 21 3 3" xfId="591" xr:uid="{00000000-0005-0000-0000-00004E020000}"/>
    <cellStyle name="Обычный 21 4" xfId="592" xr:uid="{00000000-0005-0000-0000-00004F020000}"/>
    <cellStyle name="Обычный 21 4 2" xfId="593" xr:uid="{00000000-0005-0000-0000-000050020000}"/>
    <cellStyle name="Обычный 21 4 3" xfId="594" xr:uid="{00000000-0005-0000-0000-000051020000}"/>
    <cellStyle name="Обычный 21 5" xfId="595" xr:uid="{00000000-0005-0000-0000-000052020000}"/>
    <cellStyle name="Обычный 21 5 2" xfId="596" xr:uid="{00000000-0005-0000-0000-000053020000}"/>
    <cellStyle name="Обычный 21 5 3" xfId="597" xr:uid="{00000000-0005-0000-0000-000054020000}"/>
    <cellStyle name="Обычный 21 6" xfId="598" xr:uid="{00000000-0005-0000-0000-000055020000}"/>
    <cellStyle name="Обычный 21 6 2" xfId="599" xr:uid="{00000000-0005-0000-0000-000056020000}"/>
    <cellStyle name="Обычный 21 6 3" xfId="600" xr:uid="{00000000-0005-0000-0000-000057020000}"/>
    <cellStyle name="Обычный 21 7" xfId="601" xr:uid="{00000000-0005-0000-0000-000058020000}"/>
    <cellStyle name="Обычный 21 7 2" xfId="602" xr:uid="{00000000-0005-0000-0000-000059020000}"/>
    <cellStyle name="Обычный 21 7 3" xfId="603" xr:uid="{00000000-0005-0000-0000-00005A020000}"/>
    <cellStyle name="Обычный 21 8" xfId="604" xr:uid="{00000000-0005-0000-0000-00005B020000}"/>
    <cellStyle name="Обычный 21 8 2" xfId="605" xr:uid="{00000000-0005-0000-0000-00005C020000}"/>
    <cellStyle name="Обычный 21 8 3" xfId="606" xr:uid="{00000000-0005-0000-0000-00005D020000}"/>
    <cellStyle name="Обычный 21 9" xfId="607" xr:uid="{00000000-0005-0000-0000-00005E020000}"/>
    <cellStyle name="Обычный 21 9 2" xfId="608" xr:uid="{00000000-0005-0000-0000-00005F020000}"/>
    <cellStyle name="Обычный 21 9 3" xfId="609" xr:uid="{00000000-0005-0000-0000-000060020000}"/>
    <cellStyle name="Обычный 22" xfId="610" xr:uid="{00000000-0005-0000-0000-000061020000}"/>
    <cellStyle name="Обычный 22 10" xfId="611" xr:uid="{00000000-0005-0000-0000-000062020000}"/>
    <cellStyle name="Обычный 22 10 2" xfId="612" xr:uid="{00000000-0005-0000-0000-000063020000}"/>
    <cellStyle name="Обычный 22 10 3" xfId="613" xr:uid="{00000000-0005-0000-0000-000064020000}"/>
    <cellStyle name="Обычный 22 11" xfId="614" xr:uid="{00000000-0005-0000-0000-000065020000}"/>
    <cellStyle name="Обычный 22 11 2" xfId="615" xr:uid="{00000000-0005-0000-0000-000066020000}"/>
    <cellStyle name="Обычный 22 11 3" xfId="616" xr:uid="{00000000-0005-0000-0000-000067020000}"/>
    <cellStyle name="Обычный 22 12" xfId="617" xr:uid="{00000000-0005-0000-0000-000068020000}"/>
    <cellStyle name="Обычный 22 12 2" xfId="618" xr:uid="{00000000-0005-0000-0000-000069020000}"/>
    <cellStyle name="Обычный 22 12 3" xfId="619" xr:uid="{00000000-0005-0000-0000-00006A020000}"/>
    <cellStyle name="Обычный 22 13" xfId="620" xr:uid="{00000000-0005-0000-0000-00006B020000}"/>
    <cellStyle name="Обычный 22 13 2" xfId="621" xr:uid="{00000000-0005-0000-0000-00006C020000}"/>
    <cellStyle name="Обычный 22 13 3" xfId="622" xr:uid="{00000000-0005-0000-0000-00006D020000}"/>
    <cellStyle name="Обычный 22 14" xfId="623" xr:uid="{00000000-0005-0000-0000-00006E020000}"/>
    <cellStyle name="Обычный 22 14 2" xfId="624" xr:uid="{00000000-0005-0000-0000-00006F020000}"/>
    <cellStyle name="Обычный 22 14 3" xfId="625" xr:uid="{00000000-0005-0000-0000-000070020000}"/>
    <cellStyle name="Обычный 22 15" xfId="626" xr:uid="{00000000-0005-0000-0000-000071020000}"/>
    <cellStyle name="Обычный 22 15 2" xfId="627" xr:uid="{00000000-0005-0000-0000-000072020000}"/>
    <cellStyle name="Обычный 22 15 3" xfId="628" xr:uid="{00000000-0005-0000-0000-000073020000}"/>
    <cellStyle name="Обычный 22 16" xfId="629" xr:uid="{00000000-0005-0000-0000-000074020000}"/>
    <cellStyle name="Обычный 22 16 2" xfId="630" xr:uid="{00000000-0005-0000-0000-000075020000}"/>
    <cellStyle name="Обычный 22 16 3" xfId="631" xr:uid="{00000000-0005-0000-0000-000076020000}"/>
    <cellStyle name="Обычный 22 17" xfId="632" xr:uid="{00000000-0005-0000-0000-000077020000}"/>
    <cellStyle name="Обычный 22 17 2" xfId="633" xr:uid="{00000000-0005-0000-0000-000078020000}"/>
    <cellStyle name="Обычный 22 17 3" xfId="634" xr:uid="{00000000-0005-0000-0000-000079020000}"/>
    <cellStyle name="Обычный 22 18" xfId="635" xr:uid="{00000000-0005-0000-0000-00007A020000}"/>
    <cellStyle name="Обычный 22 18 2" xfId="636" xr:uid="{00000000-0005-0000-0000-00007B020000}"/>
    <cellStyle name="Обычный 22 19" xfId="637" xr:uid="{00000000-0005-0000-0000-00007C020000}"/>
    <cellStyle name="Обычный 22 2" xfId="638" xr:uid="{00000000-0005-0000-0000-00007D020000}"/>
    <cellStyle name="Обычный 22 2 2" xfId="639" xr:uid="{00000000-0005-0000-0000-00007E020000}"/>
    <cellStyle name="Обычный 22 2 3" xfId="640" xr:uid="{00000000-0005-0000-0000-00007F020000}"/>
    <cellStyle name="Обычный 22 2 4" xfId="641" xr:uid="{00000000-0005-0000-0000-000080020000}"/>
    <cellStyle name="Обычный 22 20" xfId="642" xr:uid="{00000000-0005-0000-0000-000081020000}"/>
    <cellStyle name="Обычный 22 3" xfId="643" xr:uid="{00000000-0005-0000-0000-000082020000}"/>
    <cellStyle name="Обычный 22 3 2" xfId="644" xr:uid="{00000000-0005-0000-0000-000083020000}"/>
    <cellStyle name="Обычный 22 3 3" xfId="645" xr:uid="{00000000-0005-0000-0000-000084020000}"/>
    <cellStyle name="Обычный 22 4" xfId="646" xr:uid="{00000000-0005-0000-0000-000085020000}"/>
    <cellStyle name="Обычный 22 4 2" xfId="647" xr:uid="{00000000-0005-0000-0000-000086020000}"/>
    <cellStyle name="Обычный 22 4 3" xfId="648" xr:uid="{00000000-0005-0000-0000-000087020000}"/>
    <cellStyle name="Обычный 22 5" xfId="649" xr:uid="{00000000-0005-0000-0000-000088020000}"/>
    <cellStyle name="Обычный 22 5 2" xfId="650" xr:uid="{00000000-0005-0000-0000-000089020000}"/>
    <cellStyle name="Обычный 22 5 3" xfId="651" xr:uid="{00000000-0005-0000-0000-00008A020000}"/>
    <cellStyle name="Обычный 22 6" xfId="652" xr:uid="{00000000-0005-0000-0000-00008B020000}"/>
    <cellStyle name="Обычный 22 6 2" xfId="653" xr:uid="{00000000-0005-0000-0000-00008C020000}"/>
    <cellStyle name="Обычный 22 6 3" xfId="654" xr:uid="{00000000-0005-0000-0000-00008D020000}"/>
    <cellStyle name="Обычный 22 7" xfId="655" xr:uid="{00000000-0005-0000-0000-00008E020000}"/>
    <cellStyle name="Обычный 22 7 2" xfId="656" xr:uid="{00000000-0005-0000-0000-00008F020000}"/>
    <cellStyle name="Обычный 22 7 3" xfId="657" xr:uid="{00000000-0005-0000-0000-000090020000}"/>
    <cellStyle name="Обычный 22 8" xfId="658" xr:uid="{00000000-0005-0000-0000-000091020000}"/>
    <cellStyle name="Обычный 22 8 2" xfId="659" xr:uid="{00000000-0005-0000-0000-000092020000}"/>
    <cellStyle name="Обычный 22 8 3" xfId="660" xr:uid="{00000000-0005-0000-0000-000093020000}"/>
    <cellStyle name="Обычный 22 9" xfId="661" xr:uid="{00000000-0005-0000-0000-000094020000}"/>
    <cellStyle name="Обычный 22 9 2" xfId="662" xr:uid="{00000000-0005-0000-0000-000095020000}"/>
    <cellStyle name="Обычный 22 9 3" xfId="663" xr:uid="{00000000-0005-0000-0000-000096020000}"/>
    <cellStyle name="Обычный 23" xfId="664" xr:uid="{00000000-0005-0000-0000-000097020000}"/>
    <cellStyle name="Обычный 23 10" xfId="665" xr:uid="{00000000-0005-0000-0000-000098020000}"/>
    <cellStyle name="Обычный 23 10 2" xfId="666" xr:uid="{00000000-0005-0000-0000-000099020000}"/>
    <cellStyle name="Обычный 23 10 3" xfId="667" xr:uid="{00000000-0005-0000-0000-00009A020000}"/>
    <cellStyle name="Обычный 23 11" xfId="668" xr:uid="{00000000-0005-0000-0000-00009B020000}"/>
    <cellStyle name="Обычный 23 11 2" xfId="669" xr:uid="{00000000-0005-0000-0000-00009C020000}"/>
    <cellStyle name="Обычный 23 11 3" xfId="670" xr:uid="{00000000-0005-0000-0000-00009D020000}"/>
    <cellStyle name="Обычный 23 12" xfId="671" xr:uid="{00000000-0005-0000-0000-00009E020000}"/>
    <cellStyle name="Обычный 23 12 2" xfId="672" xr:uid="{00000000-0005-0000-0000-00009F020000}"/>
    <cellStyle name="Обычный 23 12 3" xfId="673" xr:uid="{00000000-0005-0000-0000-0000A0020000}"/>
    <cellStyle name="Обычный 23 13" xfId="674" xr:uid="{00000000-0005-0000-0000-0000A1020000}"/>
    <cellStyle name="Обычный 23 13 2" xfId="675" xr:uid="{00000000-0005-0000-0000-0000A2020000}"/>
    <cellStyle name="Обычный 23 13 3" xfId="676" xr:uid="{00000000-0005-0000-0000-0000A3020000}"/>
    <cellStyle name="Обычный 23 14" xfId="677" xr:uid="{00000000-0005-0000-0000-0000A4020000}"/>
    <cellStyle name="Обычный 23 14 2" xfId="678" xr:uid="{00000000-0005-0000-0000-0000A5020000}"/>
    <cellStyle name="Обычный 23 14 3" xfId="679" xr:uid="{00000000-0005-0000-0000-0000A6020000}"/>
    <cellStyle name="Обычный 23 15" xfId="680" xr:uid="{00000000-0005-0000-0000-0000A7020000}"/>
    <cellStyle name="Обычный 23 15 2" xfId="681" xr:uid="{00000000-0005-0000-0000-0000A8020000}"/>
    <cellStyle name="Обычный 23 15 3" xfId="682" xr:uid="{00000000-0005-0000-0000-0000A9020000}"/>
    <cellStyle name="Обычный 23 16" xfId="683" xr:uid="{00000000-0005-0000-0000-0000AA020000}"/>
    <cellStyle name="Обычный 23 16 2" xfId="684" xr:uid="{00000000-0005-0000-0000-0000AB020000}"/>
    <cellStyle name="Обычный 23 16 3" xfId="685" xr:uid="{00000000-0005-0000-0000-0000AC020000}"/>
    <cellStyle name="Обычный 23 17" xfId="686" xr:uid="{00000000-0005-0000-0000-0000AD020000}"/>
    <cellStyle name="Обычный 23 17 2" xfId="687" xr:uid="{00000000-0005-0000-0000-0000AE020000}"/>
    <cellStyle name="Обычный 23 17 3" xfId="688" xr:uid="{00000000-0005-0000-0000-0000AF020000}"/>
    <cellStyle name="Обычный 23 18" xfId="689" xr:uid="{00000000-0005-0000-0000-0000B0020000}"/>
    <cellStyle name="Обычный 23 18 2" xfId="690" xr:uid="{00000000-0005-0000-0000-0000B1020000}"/>
    <cellStyle name="Обычный 23 19" xfId="691" xr:uid="{00000000-0005-0000-0000-0000B2020000}"/>
    <cellStyle name="Обычный 23 2" xfId="692" xr:uid="{00000000-0005-0000-0000-0000B3020000}"/>
    <cellStyle name="Обычный 23 2 2" xfId="693" xr:uid="{00000000-0005-0000-0000-0000B4020000}"/>
    <cellStyle name="Обычный 23 2 3" xfId="694" xr:uid="{00000000-0005-0000-0000-0000B5020000}"/>
    <cellStyle name="Обычный 23 2 4" xfId="695" xr:uid="{00000000-0005-0000-0000-0000B6020000}"/>
    <cellStyle name="Обычный 23 20" xfId="696" xr:uid="{00000000-0005-0000-0000-0000B7020000}"/>
    <cellStyle name="Обычный 23 3" xfId="697" xr:uid="{00000000-0005-0000-0000-0000B8020000}"/>
    <cellStyle name="Обычный 23 3 2" xfId="698" xr:uid="{00000000-0005-0000-0000-0000B9020000}"/>
    <cellStyle name="Обычный 23 3 3" xfId="699" xr:uid="{00000000-0005-0000-0000-0000BA020000}"/>
    <cellStyle name="Обычный 23 4" xfId="700" xr:uid="{00000000-0005-0000-0000-0000BB020000}"/>
    <cellStyle name="Обычный 23 4 2" xfId="701" xr:uid="{00000000-0005-0000-0000-0000BC020000}"/>
    <cellStyle name="Обычный 23 4 3" xfId="702" xr:uid="{00000000-0005-0000-0000-0000BD020000}"/>
    <cellStyle name="Обычный 23 5" xfId="703" xr:uid="{00000000-0005-0000-0000-0000BE020000}"/>
    <cellStyle name="Обычный 23 5 2" xfId="704" xr:uid="{00000000-0005-0000-0000-0000BF020000}"/>
    <cellStyle name="Обычный 23 5 3" xfId="705" xr:uid="{00000000-0005-0000-0000-0000C0020000}"/>
    <cellStyle name="Обычный 23 6" xfId="706" xr:uid="{00000000-0005-0000-0000-0000C1020000}"/>
    <cellStyle name="Обычный 23 6 2" xfId="707" xr:uid="{00000000-0005-0000-0000-0000C2020000}"/>
    <cellStyle name="Обычный 23 6 3" xfId="708" xr:uid="{00000000-0005-0000-0000-0000C3020000}"/>
    <cellStyle name="Обычный 23 7" xfId="709" xr:uid="{00000000-0005-0000-0000-0000C4020000}"/>
    <cellStyle name="Обычный 23 7 2" xfId="710" xr:uid="{00000000-0005-0000-0000-0000C5020000}"/>
    <cellStyle name="Обычный 23 7 3" xfId="711" xr:uid="{00000000-0005-0000-0000-0000C6020000}"/>
    <cellStyle name="Обычный 23 8" xfId="712" xr:uid="{00000000-0005-0000-0000-0000C7020000}"/>
    <cellStyle name="Обычный 23 8 2" xfId="713" xr:uid="{00000000-0005-0000-0000-0000C8020000}"/>
    <cellStyle name="Обычный 23 8 3" xfId="714" xr:uid="{00000000-0005-0000-0000-0000C9020000}"/>
    <cellStyle name="Обычный 23 9" xfId="715" xr:uid="{00000000-0005-0000-0000-0000CA020000}"/>
    <cellStyle name="Обычный 23 9 2" xfId="716" xr:uid="{00000000-0005-0000-0000-0000CB020000}"/>
    <cellStyle name="Обычный 23 9 3" xfId="717" xr:uid="{00000000-0005-0000-0000-0000CC020000}"/>
    <cellStyle name="Обычный 24" xfId="718" xr:uid="{00000000-0005-0000-0000-0000CD020000}"/>
    <cellStyle name="Обычный 24 10" xfId="719" xr:uid="{00000000-0005-0000-0000-0000CE020000}"/>
    <cellStyle name="Обычный 24 10 2" xfId="720" xr:uid="{00000000-0005-0000-0000-0000CF020000}"/>
    <cellStyle name="Обычный 24 10 3" xfId="721" xr:uid="{00000000-0005-0000-0000-0000D0020000}"/>
    <cellStyle name="Обычный 24 11" xfId="722" xr:uid="{00000000-0005-0000-0000-0000D1020000}"/>
    <cellStyle name="Обычный 24 11 2" xfId="723" xr:uid="{00000000-0005-0000-0000-0000D2020000}"/>
    <cellStyle name="Обычный 24 11 3" xfId="724" xr:uid="{00000000-0005-0000-0000-0000D3020000}"/>
    <cellStyle name="Обычный 24 12" xfId="725" xr:uid="{00000000-0005-0000-0000-0000D4020000}"/>
    <cellStyle name="Обычный 24 12 2" xfId="726" xr:uid="{00000000-0005-0000-0000-0000D5020000}"/>
    <cellStyle name="Обычный 24 12 3" xfId="727" xr:uid="{00000000-0005-0000-0000-0000D6020000}"/>
    <cellStyle name="Обычный 24 13" xfId="728" xr:uid="{00000000-0005-0000-0000-0000D7020000}"/>
    <cellStyle name="Обычный 24 13 2" xfId="729" xr:uid="{00000000-0005-0000-0000-0000D8020000}"/>
    <cellStyle name="Обычный 24 13 3" xfId="730" xr:uid="{00000000-0005-0000-0000-0000D9020000}"/>
    <cellStyle name="Обычный 24 14" xfId="731" xr:uid="{00000000-0005-0000-0000-0000DA020000}"/>
    <cellStyle name="Обычный 24 14 2" xfId="732" xr:uid="{00000000-0005-0000-0000-0000DB020000}"/>
    <cellStyle name="Обычный 24 14 3" xfId="733" xr:uid="{00000000-0005-0000-0000-0000DC020000}"/>
    <cellStyle name="Обычный 24 15" xfId="734" xr:uid="{00000000-0005-0000-0000-0000DD020000}"/>
    <cellStyle name="Обычный 24 15 2" xfId="735" xr:uid="{00000000-0005-0000-0000-0000DE020000}"/>
    <cellStyle name="Обычный 24 15 3" xfId="736" xr:uid="{00000000-0005-0000-0000-0000DF020000}"/>
    <cellStyle name="Обычный 24 16" xfId="737" xr:uid="{00000000-0005-0000-0000-0000E0020000}"/>
    <cellStyle name="Обычный 24 16 2" xfId="738" xr:uid="{00000000-0005-0000-0000-0000E1020000}"/>
    <cellStyle name="Обычный 24 16 3" xfId="739" xr:uid="{00000000-0005-0000-0000-0000E2020000}"/>
    <cellStyle name="Обычный 24 17" xfId="740" xr:uid="{00000000-0005-0000-0000-0000E3020000}"/>
    <cellStyle name="Обычный 24 17 2" xfId="741" xr:uid="{00000000-0005-0000-0000-0000E4020000}"/>
    <cellStyle name="Обычный 24 17 3" xfId="742" xr:uid="{00000000-0005-0000-0000-0000E5020000}"/>
    <cellStyle name="Обычный 24 18" xfId="743" xr:uid="{00000000-0005-0000-0000-0000E6020000}"/>
    <cellStyle name="Обычный 24 18 2" xfId="744" xr:uid="{00000000-0005-0000-0000-0000E7020000}"/>
    <cellStyle name="Обычный 24 19" xfId="745" xr:uid="{00000000-0005-0000-0000-0000E8020000}"/>
    <cellStyle name="Обычный 24 2" xfId="746" xr:uid="{00000000-0005-0000-0000-0000E9020000}"/>
    <cellStyle name="Обычный 24 2 2" xfId="747" xr:uid="{00000000-0005-0000-0000-0000EA020000}"/>
    <cellStyle name="Обычный 24 2 3" xfId="748" xr:uid="{00000000-0005-0000-0000-0000EB020000}"/>
    <cellStyle name="Обычный 24 2 4" xfId="749" xr:uid="{00000000-0005-0000-0000-0000EC020000}"/>
    <cellStyle name="Обычный 24 20" xfId="750" xr:uid="{00000000-0005-0000-0000-0000ED020000}"/>
    <cellStyle name="Обычный 24 3" xfId="751" xr:uid="{00000000-0005-0000-0000-0000EE020000}"/>
    <cellStyle name="Обычный 24 3 2" xfId="752" xr:uid="{00000000-0005-0000-0000-0000EF020000}"/>
    <cellStyle name="Обычный 24 3 3" xfId="753" xr:uid="{00000000-0005-0000-0000-0000F0020000}"/>
    <cellStyle name="Обычный 24 4" xfId="754" xr:uid="{00000000-0005-0000-0000-0000F1020000}"/>
    <cellStyle name="Обычный 24 4 2" xfId="755" xr:uid="{00000000-0005-0000-0000-0000F2020000}"/>
    <cellStyle name="Обычный 24 4 3" xfId="756" xr:uid="{00000000-0005-0000-0000-0000F3020000}"/>
    <cellStyle name="Обычный 24 5" xfId="757" xr:uid="{00000000-0005-0000-0000-0000F4020000}"/>
    <cellStyle name="Обычный 24 5 2" xfId="758" xr:uid="{00000000-0005-0000-0000-0000F5020000}"/>
    <cellStyle name="Обычный 24 5 3" xfId="759" xr:uid="{00000000-0005-0000-0000-0000F6020000}"/>
    <cellStyle name="Обычный 24 6" xfId="760" xr:uid="{00000000-0005-0000-0000-0000F7020000}"/>
    <cellStyle name="Обычный 24 6 2" xfId="761" xr:uid="{00000000-0005-0000-0000-0000F8020000}"/>
    <cellStyle name="Обычный 24 6 3" xfId="762" xr:uid="{00000000-0005-0000-0000-0000F9020000}"/>
    <cellStyle name="Обычный 24 7" xfId="763" xr:uid="{00000000-0005-0000-0000-0000FA020000}"/>
    <cellStyle name="Обычный 24 7 2" xfId="764" xr:uid="{00000000-0005-0000-0000-0000FB020000}"/>
    <cellStyle name="Обычный 24 7 3" xfId="765" xr:uid="{00000000-0005-0000-0000-0000FC020000}"/>
    <cellStyle name="Обычный 24 8" xfId="766" xr:uid="{00000000-0005-0000-0000-0000FD020000}"/>
    <cellStyle name="Обычный 24 8 2" xfId="767" xr:uid="{00000000-0005-0000-0000-0000FE020000}"/>
    <cellStyle name="Обычный 24 8 3" xfId="768" xr:uid="{00000000-0005-0000-0000-0000FF020000}"/>
    <cellStyle name="Обычный 24 9" xfId="769" xr:uid="{00000000-0005-0000-0000-000000030000}"/>
    <cellStyle name="Обычный 24 9 2" xfId="770" xr:uid="{00000000-0005-0000-0000-000001030000}"/>
    <cellStyle name="Обычный 24 9 3" xfId="771" xr:uid="{00000000-0005-0000-0000-000002030000}"/>
    <cellStyle name="Обычный 25" xfId="772" xr:uid="{00000000-0005-0000-0000-000003030000}"/>
    <cellStyle name="Обычный 25 10" xfId="773" xr:uid="{00000000-0005-0000-0000-000004030000}"/>
    <cellStyle name="Обычный 25 10 2" xfId="774" xr:uid="{00000000-0005-0000-0000-000005030000}"/>
    <cellStyle name="Обычный 25 10 3" xfId="775" xr:uid="{00000000-0005-0000-0000-000006030000}"/>
    <cellStyle name="Обычный 25 11" xfId="776" xr:uid="{00000000-0005-0000-0000-000007030000}"/>
    <cellStyle name="Обычный 25 11 2" xfId="777" xr:uid="{00000000-0005-0000-0000-000008030000}"/>
    <cellStyle name="Обычный 25 11 3" xfId="778" xr:uid="{00000000-0005-0000-0000-000009030000}"/>
    <cellStyle name="Обычный 25 12" xfId="779" xr:uid="{00000000-0005-0000-0000-00000A030000}"/>
    <cellStyle name="Обычный 25 12 2" xfId="780" xr:uid="{00000000-0005-0000-0000-00000B030000}"/>
    <cellStyle name="Обычный 25 12 3" xfId="781" xr:uid="{00000000-0005-0000-0000-00000C030000}"/>
    <cellStyle name="Обычный 25 13" xfId="782" xr:uid="{00000000-0005-0000-0000-00000D030000}"/>
    <cellStyle name="Обычный 25 13 2" xfId="783" xr:uid="{00000000-0005-0000-0000-00000E030000}"/>
    <cellStyle name="Обычный 25 13 3" xfId="784" xr:uid="{00000000-0005-0000-0000-00000F030000}"/>
    <cellStyle name="Обычный 25 14" xfId="785" xr:uid="{00000000-0005-0000-0000-000010030000}"/>
    <cellStyle name="Обычный 25 14 2" xfId="786" xr:uid="{00000000-0005-0000-0000-000011030000}"/>
    <cellStyle name="Обычный 25 14 3" xfId="787" xr:uid="{00000000-0005-0000-0000-000012030000}"/>
    <cellStyle name="Обычный 25 15" xfId="788" xr:uid="{00000000-0005-0000-0000-000013030000}"/>
    <cellStyle name="Обычный 25 15 2" xfId="789" xr:uid="{00000000-0005-0000-0000-000014030000}"/>
    <cellStyle name="Обычный 25 15 3" xfId="790" xr:uid="{00000000-0005-0000-0000-000015030000}"/>
    <cellStyle name="Обычный 25 16" xfId="791" xr:uid="{00000000-0005-0000-0000-000016030000}"/>
    <cellStyle name="Обычный 25 16 2" xfId="792" xr:uid="{00000000-0005-0000-0000-000017030000}"/>
    <cellStyle name="Обычный 25 16 3" xfId="793" xr:uid="{00000000-0005-0000-0000-000018030000}"/>
    <cellStyle name="Обычный 25 17" xfId="794" xr:uid="{00000000-0005-0000-0000-000019030000}"/>
    <cellStyle name="Обычный 25 17 2" xfId="795" xr:uid="{00000000-0005-0000-0000-00001A030000}"/>
    <cellStyle name="Обычный 25 17 3" xfId="796" xr:uid="{00000000-0005-0000-0000-00001B030000}"/>
    <cellStyle name="Обычный 25 18" xfId="797" xr:uid="{00000000-0005-0000-0000-00001C030000}"/>
    <cellStyle name="Обычный 25 18 2" xfId="798" xr:uid="{00000000-0005-0000-0000-00001D030000}"/>
    <cellStyle name="Обычный 25 19" xfId="799" xr:uid="{00000000-0005-0000-0000-00001E030000}"/>
    <cellStyle name="Обычный 25 2" xfId="800" xr:uid="{00000000-0005-0000-0000-00001F030000}"/>
    <cellStyle name="Обычный 25 2 2" xfId="801" xr:uid="{00000000-0005-0000-0000-000020030000}"/>
    <cellStyle name="Обычный 25 2 3" xfId="802" xr:uid="{00000000-0005-0000-0000-000021030000}"/>
    <cellStyle name="Обычный 25 2 4" xfId="803" xr:uid="{00000000-0005-0000-0000-000022030000}"/>
    <cellStyle name="Обычный 25 20" xfId="804" xr:uid="{00000000-0005-0000-0000-000023030000}"/>
    <cellStyle name="Обычный 25 3" xfId="805" xr:uid="{00000000-0005-0000-0000-000024030000}"/>
    <cellStyle name="Обычный 25 3 2" xfId="806" xr:uid="{00000000-0005-0000-0000-000025030000}"/>
    <cellStyle name="Обычный 25 3 3" xfId="807" xr:uid="{00000000-0005-0000-0000-000026030000}"/>
    <cellStyle name="Обычный 25 4" xfId="808" xr:uid="{00000000-0005-0000-0000-000027030000}"/>
    <cellStyle name="Обычный 25 4 2" xfId="809" xr:uid="{00000000-0005-0000-0000-000028030000}"/>
    <cellStyle name="Обычный 25 4 3" xfId="810" xr:uid="{00000000-0005-0000-0000-000029030000}"/>
    <cellStyle name="Обычный 25 5" xfId="811" xr:uid="{00000000-0005-0000-0000-00002A030000}"/>
    <cellStyle name="Обычный 25 5 2" xfId="812" xr:uid="{00000000-0005-0000-0000-00002B030000}"/>
    <cellStyle name="Обычный 25 5 3" xfId="813" xr:uid="{00000000-0005-0000-0000-00002C030000}"/>
    <cellStyle name="Обычный 25 6" xfId="814" xr:uid="{00000000-0005-0000-0000-00002D030000}"/>
    <cellStyle name="Обычный 25 6 2" xfId="815" xr:uid="{00000000-0005-0000-0000-00002E030000}"/>
    <cellStyle name="Обычный 25 6 3" xfId="816" xr:uid="{00000000-0005-0000-0000-00002F030000}"/>
    <cellStyle name="Обычный 25 7" xfId="817" xr:uid="{00000000-0005-0000-0000-000030030000}"/>
    <cellStyle name="Обычный 25 7 2" xfId="818" xr:uid="{00000000-0005-0000-0000-000031030000}"/>
    <cellStyle name="Обычный 25 7 3" xfId="819" xr:uid="{00000000-0005-0000-0000-000032030000}"/>
    <cellStyle name="Обычный 25 8" xfId="820" xr:uid="{00000000-0005-0000-0000-000033030000}"/>
    <cellStyle name="Обычный 25 8 2" xfId="821" xr:uid="{00000000-0005-0000-0000-000034030000}"/>
    <cellStyle name="Обычный 25 8 3" xfId="822" xr:uid="{00000000-0005-0000-0000-000035030000}"/>
    <cellStyle name="Обычный 25 9" xfId="823" xr:uid="{00000000-0005-0000-0000-000036030000}"/>
    <cellStyle name="Обычный 25 9 2" xfId="824" xr:uid="{00000000-0005-0000-0000-000037030000}"/>
    <cellStyle name="Обычный 25 9 3" xfId="825" xr:uid="{00000000-0005-0000-0000-000038030000}"/>
    <cellStyle name="Обычный 26" xfId="826" xr:uid="{00000000-0005-0000-0000-000039030000}"/>
    <cellStyle name="Обычный 26 10" xfId="827" xr:uid="{00000000-0005-0000-0000-00003A030000}"/>
    <cellStyle name="Обычный 26 10 2" xfId="828" xr:uid="{00000000-0005-0000-0000-00003B030000}"/>
    <cellStyle name="Обычный 26 10 3" xfId="829" xr:uid="{00000000-0005-0000-0000-00003C030000}"/>
    <cellStyle name="Обычный 26 11" xfId="830" xr:uid="{00000000-0005-0000-0000-00003D030000}"/>
    <cellStyle name="Обычный 26 11 2" xfId="831" xr:uid="{00000000-0005-0000-0000-00003E030000}"/>
    <cellStyle name="Обычный 26 11 3" xfId="832" xr:uid="{00000000-0005-0000-0000-00003F030000}"/>
    <cellStyle name="Обычный 26 12" xfId="833" xr:uid="{00000000-0005-0000-0000-000040030000}"/>
    <cellStyle name="Обычный 26 12 2" xfId="834" xr:uid="{00000000-0005-0000-0000-000041030000}"/>
    <cellStyle name="Обычный 26 12 3" xfId="835" xr:uid="{00000000-0005-0000-0000-000042030000}"/>
    <cellStyle name="Обычный 26 13" xfId="836" xr:uid="{00000000-0005-0000-0000-000043030000}"/>
    <cellStyle name="Обычный 26 13 2" xfId="837" xr:uid="{00000000-0005-0000-0000-000044030000}"/>
    <cellStyle name="Обычный 26 13 3" xfId="838" xr:uid="{00000000-0005-0000-0000-000045030000}"/>
    <cellStyle name="Обычный 26 14" xfId="839" xr:uid="{00000000-0005-0000-0000-000046030000}"/>
    <cellStyle name="Обычный 26 14 2" xfId="840" xr:uid="{00000000-0005-0000-0000-000047030000}"/>
    <cellStyle name="Обычный 26 14 3" xfId="841" xr:uid="{00000000-0005-0000-0000-000048030000}"/>
    <cellStyle name="Обычный 26 15" xfId="842" xr:uid="{00000000-0005-0000-0000-000049030000}"/>
    <cellStyle name="Обычный 26 15 2" xfId="843" xr:uid="{00000000-0005-0000-0000-00004A030000}"/>
    <cellStyle name="Обычный 26 15 3" xfId="844" xr:uid="{00000000-0005-0000-0000-00004B030000}"/>
    <cellStyle name="Обычный 26 16" xfId="845" xr:uid="{00000000-0005-0000-0000-00004C030000}"/>
    <cellStyle name="Обычный 26 16 2" xfId="846" xr:uid="{00000000-0005-0000-0000-00004D030000}"/>
    <cellStyle name="Обычный 26 16 3" xfId="847" xr:uid="{00000000-0005-0000-0000-00004E030000}"/>
    <cellStyle name="Обычный 26 17" xfId="848" xr:uid="{00000000-0005-0000-0000-00004F030000}"/>
    <cellStyle name="Обычный 26 17 2" xfId="849" xr:uid="{00000000-0005-0000-0000-000050030000}"/>
    <cellStyle name="Обычный 26 17 3" xfId="850" xr:uid="{00000000-0005-0000-0000-000051030000}"/>
    <cellStyle name="Обычный 26 18" xfId="851" xr:uid="{00000000-0005-0000-0000-000052030000}"/>
    <cellStyle name="Обычный 26 18 2" xfId="852" xr:uid="{00000000-0005-0000-0000-000053030000}"/>
    <cellStyle name="Обычный 26 19" xfId="853" xr:uid="{00000000-0005-0000-0000-000054030000}"/>
    <cellStyle name="Обычный 26 2" xfId="854" xr:uid="{00000000-0005-0000-0000-000055030000}"/>
    <cellStyle name="Обычный 26 2 2" xfId="855" xr:uid="{00000000-0005-0000-0000-000056030000}"/>
    <cellStyle name="Обычный 26 2 3" xfId="856" xr:uid="{00000000-0005-0000-0000-000057030000}"/>
    <cellStyle name="Обычный 26 2 4" xfId="857" xr:uid="{00000000-0005-0000-0000-000058030000}"/>
    <cellStyle name="Обычный 26 20" xfId="858" xr:uid="{00000000-0005-0000-0000-000059030000}"/>
    <cellStyle name="Обычный 26 3" xfId="859" xr:uid="{00000000-0005-0000-0000-00005A030000}"/>
    <cellStyle name="Обычный 26 3 2" xfId="860" xr:uid="{00000000-0005-0000-0000-00005B030000}"/>
    <cellStyle name="Обычный 26 3 3" xfId="861" xr:uid="{00000000-0005-0000-0000-00005C030000}"/>
    <cellStyle name="Обычный 26 4" xfId="862" xr:uid="{00000000-0005-0000-0000-00005D030000}"/>
    <cellStyle name="Обычный 26 4 2" xfId="863" xr:uid="{00000000-0005-0000-0000-00005E030000}"/>
    <cellStyle name="Обычный 26 4 3" xfId="864" xr:uid="{00000000-0005-0000-0000-00005F030000}"/>
    <cellStyle name="Обычный 26 5" xfId="865" xr:uid="{00000000-0005-0000-0000-000060030000}"/>
    <cellStyle name="Обычный 26 5 2" xfId="866" xr:uid="{00000000-0005-0000-0000-000061030000}"/>
    <cellStyle name="Обычный 26 5 3" xfId="867" xr:uid="{00000000-0005-0000-0000-000062030000}"/>
    <cellStyle name="Обычный 26 6" xfId="868" xr:uid="{00000000-0005-0000-0000-000063030000}"/>
    <cellStyle name="Обычный 26 6 2" xfId="869" xr:uid="{00000000-0005-0000-0000-000064030000}"/>
    <cellStyle name="Обычный 26 6 3" xfId="870" xr:uid="{00000000-0005-0000-0000-000065030000}"/>
    <cellStyle name="Обычный 26 7" xfId="871" xr:uid="{00000000-0005-0000-0000-000066030000}"/>
    <cellStyle name="Обычный 26 7 2" xfId="872" xr:uid="{00000000-0005-0000-0000-000067030000}"/>
    <cellStyle name="Обычный 26 7 3" xfId="873" xr:uid="{00000000-0005-0000-0000-000068030000}"/>
    <cellStyle name="Обычный 26 8" xfId="874" xr:uid="{00000000-0005-0000-0000-000069030000}"/>
    <cellStyle name="Обычный 26 8 2" xfId="875" xr:uid="{00000000-0005-0000-0000-00006A030000}"/>
    <cellStyle name="Обычный 26 8 3" xfId="876" xr:uid="{00000000-0005-0000-0000-00006B030000}"/>
    <cellStyle name="Обычный 26 9" xfId="877" xr:uid="{00000000-0005-0000-0000-00006C030000}"/>
    <cellStyle name="Обычный 26 9 2" xfId="878" xr:uid="{00000000-0005-0000-0000-00006D030000}"/>
    <cellStyle name="Обычный 26 9 3" xfId="879" xr:uid="{00000000-0005-0000-0000-00006E030000}"/>
    <cellStyle name="Обычный 27" xfId="880" xr:uid="{00000000-0005-0000-0000-00006F030000}"/>
    <cellStyle name="Обычный 27 2" xfId="881" xr:uid="{00000000-0005-0000-0000-000070030000}"/>
    <cellStyle name="Обычный 28" xfId="882" xr:uid="{00000000-0005-0000-0000-000071030000}"/>
    <cellStyle name="Обычный 28 10" xfId="883" xr:uid="{00000000-0005-0000-0000-000072030000}"/>
    <cellStyle name="Обычный 28 10 2" xfId="884" xr:uid="{00000000-0005-0000-0000-000073030000}"/>
    <cellStyle name="Обычный 28 10 3" xfId="885" xr:uid="{00000000-0005-0000-0000-000074030000}"/>
    <cellStyle name="Обычный 28 11" xfId="886" xr:uid="{00000000-0005-0000-0000-000075030000}"/>
    <cellStyle name="Обычный 28 11 2" xfId="887" xr:uid="{00000000-0005-0000-0000-000076030000}"/>
    <cellStyle name="Обычный 28 11 3" xfId="888" xr:uid="{00000000-0005-0000-0000-000077030000}"/>
    <cellStyle name="Обычный 28 12" xfId="889" xr:uid="{00000000-0005-0000-0000-000078030000}"/>
    <cellStyle name="Обычный 28 12 2" xfId="890" xr:uid="{00000000-0005-0000-0000-000079030000}"/>
    <cellStyle name="Обычный 28 12 3" xfId="891" xr:uid="{00000000-0005-0000-0000-00007A030000}"/>
    <cellStyle name="Обычный 28 13" xfId="892" xr:uid="{00000000-0005-0000-0000-00007B030000}"/>
    <cellStyle name="Обычный 28 13 2" xfId="893" xr:uid="{00000000-0005-0000-0000-00007C030000}"/>
    <cellStyle name="Обычный 28 13 3" xfId="894" xr:uid="{00000000-0005-0000-0000-00007D030000}"/>
    <cellStyle name="Обычный 28 14" xfId="895" xr:uid="{00000000-0005-0000-0000-00007E030000}"/>
    <cellStyle name="Обычный 28 14 2" xfId="896" xr:uid="{00000000-0005-0000-0000-00007F030000}"/>
    <cellStyle name="Обычный 28 14 3" xfId="897" xr:uid="{00000000-0005-0000-0000-000080030000}"/>
    <cellStyle name="Обычный 28 15" xfId="898" xr:uid="{00000000-0005-0000-0000-000081030000}"/>
    <cellStyle name="Обычный 28 15 2" xfId="899" xr:uid="{00000000-0005-0000-0000-000082030000}"/>
    <cellStyle name="Обычный 28 15 3" xfId="900" xr:uid="{00000000-0005-0000-0000-000083030000}"/>
    <cellStyle name="Обычный 28 16" xfId="901" xr:uid="{00000000-0005-0000-0000-000084030000}"/>
    <cellStyle name="Обычный 28 16 2" xfId="902" xr:uid="{00000000-0005-0000-0000-000085030000}"/>
    <cellStyle name="Обычный 28 16 3" xfId="903" xr:uid="{00000000-0005-0000-0000-000086030000}"/>
    <cellStyle name="Обычный 28 17" xfId="904" xr:uid="{00000000-0005-0000-0000-000087030000}"/>
    <cellStyle name="Обычный 28 17 2" xfId="905" xr:uid="{00000000-0005-0000-0000-000088030000}"/>
    <cellStyle name="Обычный 28 17 3" xfId="906" xr:uid="{00000000-0005-0000-0000-000089030000}"/>
    <cellStyle name="Обычный 28 18" xfId="907" xr:uid="{00000000-0005-0000-0000-00008A030000}"/>
    <cellStyle name="Обычный 28 18 2" xfId="908" xr:uid="{00000000-0005-0000-0000-00008B030000}"/>
    <cellStyle name="Обычный 28 19" xfId="909" xr:uid="{00000000-0005-0000-0000-00008C030000}"/>
    <cellStyle name="Обычный 28 2" xfId="910" xr:uid="{00000000-0005-0000-0000-00008D030000}"/>
    <cellStyle name="Обычный 28 2 2" xfId="911" xr:uid="{00000000-0005-0000-0000-00008E030000}"/>
    <cellStyle name="Обычный 28 2 3" xfId="912" xr:uid="{00000000-0005-0000-0000-00008F030000}"/>
    <cellStyle name="Обычный 28 2 4" xfId="913" xr:uid="{00000000-0005-0000-0000-000090030000}"/>
    <cellStyle name="Обычный 28 20" xfId="914" xr:uid="{00000000-0005-0000-0000-000091030000}"/>
    <cellStyle name="Обычный 28 3" xfId="915" xr:uid="{00000000-0005-0000-0000-000092030000}"/>
    <cellStyle name="Обычный 28 3 2" xfId="916" xr:uid="{00000000-0005-0000-0000-000093030000}"/>
    <cellStyle name="Обычный 28 3 3" xfId="917" xr:uid="{00000000-0005-0000-0000-000094030000}"/>
    <cellStyle name="Обычный 28 4" xfId="918" xr:uid="{00000000-0005-0000-0000-000095030000}"/>
    <cellStyle name="Обычный 28 4 2" xfId="919" xr:uid="{00000000-0005-0000-0000-000096030000}"/>
    <cellStyle name="Обычный 28 4 3" xfId="920" xr:uid="{00000000-0005-0000-0000-000097030000}"/>
    <cellStyle name="Обычный 28 5" xfId="921" xr:uid="{00000000-0005-0000-0000-000098030000}"/>
    <cellStyle name="Обычный 28 5 2" xfId="922" xr:uid="{00000000-0005-0000-0000-000099030000}"/>
    <cellStyle name="Обычный 28 5 3" xfId="923" xr:uid="{00000000-0005-0000-0000-00009A030000}"/>
    <cellStyle name="Обычный 28 6" xfId="924" xr:uid="{00000000-0005-0000-0000-00009B030000}"/>
    <cellStyle name="Обычный 28 6 2" xfId="925" xr:uid="{00000000-0005-0000-0000-00009C030000}"/>
    <cellStyle name="Обычный 28 6 3" xfId="926" xr:uid="{00000000-0005-0000-0000-00009D030000}"/>
    <cellStyle name="Обычный 28 7" xfId="927" xr:uid="{00000000-0005-0000-0000-00009E030000}"/>
    <cellStyle name="Обычный 28 7 2" xfId="928" xr:uid="{00000000-0005-0000-0000-00009F030000}"/>
    <cellStyle name="Обычный 28 7 3" xfId="929" xr:uid="{00000000-0005-0000-0000-0000A0030000}"/>
    <cellStyle name="Обычный 28 8" xfId="930" xr:uid="{00000000-0005-0000-0000-0000A1030000}"/>
    <cellStyle name="Обычный 28 8 2" xfId="931" xr:uid="{00000000-0005-0000-0000-0000A2030000}"/>
    <cellStyle name="Обычный 28 8 3" xfId="932" xr:uid="{00000000-0005-0000-0000-0000A3030000}"/>
    <cellStyle name="Обычный 28 9" xfId="933" xr:uid="{00000000-0005-0000-0000-0000A4030000}"/>
    <cellStyle name="Обычный 28 9 2" xfId="934" xr:uid="{00000000-0005-0000-0000-0000A5030000}"/>
    <cellStyle name="Обычный 28 9 3" xfId="935" xr:uid="{00000000-0005-0000-0000-0000A6030000}"/>
    <cellStyle name="Обычный 29" xfId="936" xr:uid="{00000000-0005-0000-0000-0000A7030000}"/>
    <cellStyle name="Обычный 29 10" xfId="937" xr:uid="{00000000-0005-0000-0000-0000A8030000}"/>
    <cellStyle name="Обычный 29 10 2" xfId="938" xr:uid="{00000000-0005-0000-0000-0000A9030000}"/>
    <cellStyle name="Обычный 29 10 3" xfId="939" xr:uid="{00000000-0005-0000-0000-0000AA030000}"/>
    <cellStyle name="Обычный 29 11" xfId="940" xr:uid="{00000000-0005-0000-0000-0000AB030000}"/>
    <cellStyle name="Обычный 29 11 2" xfId="941" xr:uid="{00000000-0005-0000-0000-0000AC030000}"/>
    <cellStyle name="Обычный 29 11 3" xfId="942" xr:uid="{00000000-0005-0000-0000-0000AD030000}"/>
    <cellStyle name="Обычный 29 12" xfId="943" xr:uid="{00000000-0005-0000-0000-0000AE030000}"/>
    <cellStyle name="Обычный 29 12 2" xfId="944" xr:uid="{00000000-0005-0000-0000-0000AF030000}"/>
    <cellStyle name="Обычный 29 12 3" xfId="945" xr:uid="{00000000-0005-0000-0000-0000B0030000}"/>
    <cellStyle name="Обычный 29 13" xfId="946" xr:uid="{00000000-0005-0000-0000-0000B1030000}"/>
    <cellStyle name="Обычный 29 13 2" xfId="947" xr:uid="{00000000-0005-0000-0000-0000B2030000}"/>
    <cellStyle name="Обычный 29 13 3" xfId="948" xr:uid="{00000000-0005-0000-0000-0000B3030000}"/>
    <cellStyle name="Обычный 29 14" xfId="949" xr:uid="{00000000-0005-0000-0000-0000B4030000}"/>
    <cellStyle name="Обычный 29 14 2" xfId="950" xr:uid="{00000000-0005-0000-0000-0000B5030000}"/>
    <cellStyle name="Обычный 29 14 3" xfId="951" xr:uid="{00000000-0005-0000-0000-0000B6030000}"/>
    <cellStyle name="Обычный 29 15" xfId="952" xr:uid="{00000000-0005-0000-0000-0000B7030000}"/>
    <cellStyle name="Обычный 29 15 2" xfId="953" xr:uid="{00000000-0005-0000-0000-0000B8030000}"/>
    <cellStyle name="Обычный 29 15 3" xfId="954" xr:uid="{00000000-0005-0000-0000-0000B9030000}"/>
    <cellStyle name="Обычный 29 16" xfId="955" xr:uid="{00000000-0005-0000-0000-0000BA030000}"/>
    <cellStyle name="Обычный 29 16 2" xfId="956" xr:uid="{00000000-0005-0000-0000-0000BB030000}"/>
    <cellStyle name="Обычный 29 16 3" xfId="957" xr:uid="{00000000-0005-0000-0000-0000BC030000}"/>
    <cellStyle name="Обычный 29 17" xfId="958" xr:uid="{00000000-0005-0000-0000-0000BD030000}"/>
    <cellStyle name="Обычный 29 17 2" xfId="959" xr:uid="{00000000-0005-0000-0000-0000BE030000}"/>
    <cellStyle name="Обычный 29 17 3" xfId="960" xr:uid="{00000000-0005-0000-0000-0000BF030000}"/>
    <cellStyle name="Обычный 29 18" xfId="961" xr:uid="{00000000-0005-0000-0000-0000C0030000}"/>
    <cellStyle name="Обычный 29 18 2" xfId="962" xr:uid="{00000000-0005-0000-0000-0000C1030000}"/>
    <cellStyle name="Обычный 29 19" xfId="963" xr:uid="{00000000-0005-0000-0000-0000C2030000}"/>
    <cellStyle name="Обычный 29 2" xfId="964" xr:uid="{00000000-0005-0000-0000-0000C3030000}"/>
    <cellStyle name="Обычный 29 2 2" xfId="965" xr:uid="{00000000-0005-0000-0000-0000C4030000}"/>
    <cellStyle name="Обычный 29 2 3" xfId="966" xr:uid="{00000000-0005-0000-0000-0000C5030000}"/>
    <cellStyle name="Обычный 29 2 4" xfId="967" xr:uid="{00000000-0005-0000-0000-0000C6030000}"/>
    <cellStyle name="Обычный 29 20" xfId="968" xr:uid="{00000000-0005-0000-0000-0000C7030000}"/>
    <cellStyle name="Обычный 29 3" xfId="969" xr:uid="{00000000-0005-0000-0000-0000C8030000}"/>
    <cellStyle name="Обычный 29 3 2" xfId="970" xr:uid="{00000000-0005-0000-0000-0000C9030000}"/>
    <cellStyle name="Обычный 29 3 3" xfId="971" xr:uid="{00000000-0005-0000-0000-0000CA030000}"/>
    <cellStyle name="Обычный 29 4" xfId="972" xr:uid="{00000000-0005-0000-0000-0000CB030000}"/>
    <cellStyle name="Обычный 29 4 2" xfId="973" xr:uid="{00000000-0005-0000-0000-0000CC030000}"/>
    <cellStyle name="Обычный 29 4 3" xfId="974" xr:uid="{00000000-0005-0000-0000-0000CD030000}"/>
    <cellStyle name="Обычный 29 5" xfId="975" xr:uid="{00000000-0005-0000-0000-0000CE030000}"/>
    <cellStyle name="Обычный 29 5 2" xfId="976" xr:uid="{00000000-0005-0000-0000-0000CF030000}"/>
    <cellStyle name="Обычный 29 5 3" xfId="977" xr:uid="{00000000-0005-0000-0000-0000D0030000}"/>
    <cellStyle name="Обычный 29 6" xfId="978" xr:uid="{00000000-0005-0000-0000-0000D1030000}"/>
    <cellStyle name="Обычный 29 6 2" xfId="979" xr:uid="{00000000-0005-0000-0000-0000D2030000}"/>
    <cellStyle name="Обычный 29 6 3" xfId="980" xr:uid="{00000000-0005-0000-0000-0000D3030000}"/>
    <cellStyle name="Обычный 29 7" xfId="981" xr:uid="{00000000-0005-0000-0000-0000D4030000}"/>
    <cellStyle name="Обычный 29 7 2" xfId="982" xr:uid="{00000000-0005-0000-0000-0000D5030000}"/>
    <cellStyle name="Обычный 29 7 3" xfId="983" xr:uid="{00000000-0005-0000-0000-0000D6030000}"/>
    <cellStyle name="Обычный 29 8" xfId="984" xr:uid="{00000000-0005-0000-0000-0000D7030000}"/>
    <cellStyle name="Обычный 29 8 2" xfId="985" xr:uid="{00000000-0005-0000-0000-0000D8030000}"/>
    <cellStyle name="Обычный 29 8 3" xfId="986" xr:uid="{00000000-0005-0000-0000-0000D9030000}"/>
    <cellStyle name="Обычный 29 9" xfId="987" xr:uid="{00000000-0005-0000-0000-0000DA030000}"/>
    <cellStyle name="Обычный 29 9 2" xfId="988" xr:uid="{00000000-0005-0000-0000-0000DB030000}"/>
    <cellStyle name="Обычный 29 9 3" xfId="989" xr:uid="{00000000-0005-0000-0000-0000DC030000}"/>
    <cellStyle name="Обычный 3" xfId="990" xr:uid="{00000000-0005-0000-0000-0000DD030000}"/>
    <cellStyle name="Обычный 3 2" xfId="991" xr:uid="{00000000-0005-0000-0000-0000DE030000}"/>
    <cellStyle name="Обычный 3 3" xfId="992" xr:uid="{00000000-0005-0000-0000-0000DF030000}"/>
    <cellStyle name="Обычный 3 4" xfId="993" xr:uid="{00000000-0005-0000-0000-0000E0030000}"/>
    <cellStyle name="Обычный 30" xfId="994" xr:uid="{00000000-0005-0000-0000-0000E1030000}"/>
    <cellStyle name="Обычный 30 10" xfId="995" xr:uid="{00000000-0005-0000-0000-0000E2030000}"/>
    <cellStyle name="Обычный 30 10 2" xfId="996" xr:uid="{00000000-0005-0000-0000-0000E3030000}"/>
    <cellStyle name="Обычный 30 10 3" xfId="997" xr:uid="{00000000-0005-0000-0000-0000E4030000}"/>
    <cellStyle name="Обычный 30 11" xfId="998" xr:uid="{00000000-0005-0000-0000-0000E5030000}"/>
    <cellStyle name="Обычный 30 11 2" xfId="999" xr:uid="{00000000-0005-0000-0000-0000E6030000}"/>
    <cellStyle name="Обычный 30 11 3" xfId="1000" xr:uid="{00000000-0005-0000-0000-0000E7030000}"/>
    <cellStyle name="Обычный 30 12" xfId="1001" xr:uid="{00000000-0005-0000-0000-0000E8030000}"/>
    <cellStyle name="Обычный 30 12 2" xfId="1002" xr:uid="{00000000-0005-0000-0000-0000E9030000}"/>
    <cellStyle name="Обычный 30 12 3" xfId="1003" xr:uid="{00000000-0005-0000-0000-0000EA030000}"/>
    <cellStyle name="Обычный 30 13" xfId="1004" xr:uid="{00000000-0005-0000-0000-0000EB030000}"/>
    <cellStyle name="Обычный 30 13 2" xfId="1005" xr:uid="{00000000-0005-0000-0000-0000EC030000}"/>
    <cellStyle name="Обычный 30 13 3" xfId="1006" xr:uid="{00000000-0005-0000-0000-0000ED030000}"/>
    <cellStyle name="Обычный 30 14" xfId="1007" xr:uid="{00000000-0005-0000-0000-0000EE030000}"/>
    <cellStyle name="Обычный 30 14 2" xfId="1008" xr:uid="{00000000-0005-0000-0000-0000EF030000}"/>
    <cellStyle name="Обычный 30 14 3" xfId="1009" xr:uid="{00000000-0005-0000-0000-0000F0030000}"/>
    <cellStyle name="Обычный 30 15" xfId="1010" xr:uid="{00000000-0005-0000-0000-0000F1030000}"/>
    <cellStyle name="Обычный 30 15 2" xfId="1011" xr:uid="{00000000-0005-0000-0000-0000F2030000}"/>
    <cellStyle name="Обычный 30 15 3" xfId="1012" xr:uid="{00000000-0005-0000-0000-0000F3030000}"/>
    <cellStyle name="Обычный 30 16" xfId="1013" xr:uid="{00000000-0005-0000-0000-0000F4030000}"/>
    <cellStyle name="Обычный 30 16 2" xfId="1014" xr:uid="{00000000-0005-0000-0000-0000F5030000}"/>
    <cellStyle name="Обычный 30 16 3" xfId="1015" xr:uid="{00000000-0005-0000-0000-0000F6030000}"/>
    <cellStyle name="Обычный 30 17" xfId="1016" xr:uid="{00000000-0005-0000-0000-0000F7030000}"/>
    <cellStyle name="Обычный 30 17 2" xfId="1017" xr:uid="{00000000-0005-0000-0000-0000F8030000}"/>
    <cellStyle name="Обычный 30 17 3" xfId="1018" xr:uid="{00000000-0005-0000-0000-0000F9030000}"/>
    <cellStyle name="Обычный 30 18" xfId="1019" xr:uid="{00000000-0005-0000-0000-0000FA030000}"/>
    <cellStyle name="Обычный 30 18 2" xfId="1020" xr:uid="{00000000-0005-0000-0000-0000FB030000}"/>
    <cellStyle name="Обычный 30 19" xfId="1021" xr:uid="{00000000-0005-0000-0000-0000FC030000}"/>
    <cellStyle name="Обычный 30 2" xfId="1022" xr:uid="{00000000-0005-0000-0000-0000FD030000}"/>
    <cellStyle name="Обычный 30 2 2" xfId="1023" xr:uid="{00000000-0005-0000-0000-0000FE030000}"/>
    <cellStyle name="Обычный 30 2 3" xfId="1024" xr:uid="{00000000-0005-0000-0000-0000FF030000}"/>
    <cellStyle name="Обычный 30 2 4" xfId="1025" xr:uid="{00000000-0005-0000-0000-000000040000}"/>
    <cellStyle name="Обычный 30 20" xfId="1026" xr:uid="{00000000-0005-0000-0000-000001040000}"/>
    <cellStyle name="Обычный 30 3" xfId="1027" xr:uid="{00000000-0005-0000-0000-000002040000}"/>
    <cellStyle name="Обычный 30 3 2" xfId="1028" xr:uid="{00000000-0005-0000-0000-000003040000}"/>
    <cellStyle name="Обычный 30 3 3" xfId="1029" xr:uid="{00000000-0005-0000-0000-000004040000}"/>
    <cellStyle name="Обычный 30 4" xfId="1030" xr:uid="{00000000-0005-0000-0000-000005040000}"/>
    <cellStyle name="Обычный 30 4 2" xfId="1031" xr:uid="{00000000-0005-0000-0000-000006040000}"/>
    <cellStyle name="Обычный 30 4 3" xfId="1032" xr:uid="{00000000-0005-0000-0000-000007040000}"/>
    <cellStyle name="Обычный 30 5" xfId="1033" xr:uid="{00000000-0005-0000-0000-000008040000}"/>
    <cellStyle name="Обычный 30 5 2" xfId="1034" xr:uid="{00000000-0005-0000-0000-000009040000}"/>
    <cellStyle name="Обычный 30 5 3" xfId="1035" xr:uid="{00000000-0005-0000-0000-00000A040000}"/>
    <cellStyle name="Обычный 30 6" xfId="1036" xr:uid="{00000000-0005-0000-0000-00000B040000}"/>
    <cellStyle name="Обычный 30 6 2" xfId="1037" xr:uid="{00000000-0005-0000-0000-00000C040000}"/>
    <cellStyle name="Обычный 30 6 3" xfId="1038" xr:uid="{00000000-0005-0000-0000-00000D040000}"/>
    <cellStyle name="Обычный 30 7" xfId="1039" xr:uid="{00000000-0005-0000-0000-00000E040000}"/>
    <cellStyle name="Обычный 30 7 2" xfId="1040" xr:uid="{00000000-0005-0000-0000-00000F040000}"/>
    <cellStyle name="Обычный 30 7 3" xfId="1041" xr:uid="{00000000-0005-0000-0000-000010040000}"/>
    <cellStyle name="Обычный 30 8" xfId="1042" xr:uid="{00000000-0005-0000-0000-000011040000}"/>
    <cellStyle name="Обычный 30 8 2" xfId="1043" xr:uid="{00000000-0005-0000-0000-000012040000}"/>
    <cellStyle name="Обычный 30 8 3" xfId="1044" xr:uid="{00000000-0005-0000-0000-000013040000}"/>
    <cellStyle name="Обычный 30 9" xfId="1045" xr:uid="{00000000-0005-0000-0000-000014040000}"/>
    <cellStyle name="Обычный 30 9 2" xfId="1046" xr:uid="{00000000-0005-0000-0000-000015040000}"/>
    <cellStyle name="Обычный 30 9 3" xfId="1047" xr:uid="{00000000-0005-0000-0000-000016040000}"/>
    <cellStyle name="Обычный 31" xfId="1048" xr:uid="{00000000-0005-0000-0000-000017040000}"/>
    <cellStyle name="Обычный 31 10" xfId="1049" xr:uid="{00000000-0005-0000-0000-000018040000}"/>
    <cellStyle name="Обычный 31 10 2" xfId="1050" xr:uid="{00000000-0005-0000-0000-000019040000}"/>
    <cellStyle name="Обычный 31 10 3" xfId="1051" xr:uid="{00000000-0005-0000-0000-00001A040000}"/>
    <cellStyle name="Обычный 31 11" xfId="1052" xr:uid="{00000000-0005-0000-0000-00001B040000}"/>
    <cellStyle name="Обычный 31 11 2" xfId="1053" xr:uid="{00000000-0005-0000-0000-00001C040000}"/>
    <cellStyle name="Обычный 31 11 3" xfId="1054" xr:uid="{00000000-0005-0000-0000-00001D040000}"/>
    <cellStyle name="Обычный 31 12" xfId="1055" xr:uid="{00000000-0005-0000-0000-00001E040000}"/>
    <cellStyle name="Обычный 31 12 2" xfId="1056" xr:uid="{00000000-0005-0000-0000-00001F040000}"/>
    <cellStyle name="Обычный 31 12 3" xfId="1057" xr:uid="{00000000-0005-0000-0000-000020040000}"/>
    <cellStyle name="Обычный 31 13" xfId="1058" xr:uid="{00000000-0005-0000-0000-000021040000}"/>
    <cellStyle name="Обычный 31 13 2" xfId="1059" xr:uid="{00000000-0005-0000-0000-000022040000}"/>
    <cellStyle name="Обычный 31 13 3" xfId="1060" xr:uid="{00000000-0005-0000-0000-000023040000}"/>
    <cellStyle name="Обычный 31 14" xfId="1061" xr:uid="{00000000-0005-0000-0000-000024040000}"/>
    <cellStyle name="Обычный 31 14 2" xfId="1062" xr:uid="{00000000-0005-0000-0000-000025040000}"/>
    <cellStyle name="Обычный 31 14 3" xfId="1063" xr:uid="{00000000-0005-0000-0000-000026040000}"/>
    <cellStyle name="Обычный 31 15" xfId="1064" xr:uid="{00000000-0005-0000-0000-000027040000}"/>
    <cellStyle name="Обычный 31 15 2" xfId="1065" xr:uid="{00000000-0005-0000-0000-000028040000}"/>
    <cellStyle name="Обычный 31 15 3" xfId="1066" xr:uid="{00000000-0005-0000-0000-000029040000}"/>
    <cellStyle name="Обычный 31 16" xfId="1067" xr:uid="{00000000-0005-0000-0000-00002A040000}"/>
    <cellStyle name="Обычный 31 16 2" xfId="1068" xr:uid="{00000000-0005-0000-0000-00002B040000}"/>
    <cellStyle name="Обычный 31 16 3" xfId="1069" xr:uid="{00000000-0005-0000-0000-00002C040000}"/>
    <cellStyle name="Обычный 31 17" xfId="1070" xr:uid="{00000000-0005-0000-0000-00002D040000}"/>
    <cellStyle name="Обычный 31 17 2" xfId="1071" xr:uid="{00000000-0005-0000-0000-00002E040000}"/>
    <cellStyle name="Обычный 31 17 3" xfId="1072" xr:uid="{00000000-0005-0000-0000-00002F040000}"/>
    <cellStyle name="Обычный 31 18" xfId="1073" xr:uid="{00000000-0005-0000-0000-000030040000}"/>
    <cellStyle name="Обычный 31 18 2" xfId="1074" xr:uid="{00000000-0005-0000-0000-000031040000}"/>
    <cellStyle name="Обычный 31 19" xfId="1075" xr:uid="{00000000-0005-0000-0000-000032040000}"/>
    <cellStyle name="Обычный 31 2" xfId="1076" xr:uid="{00000000-0005-0000-0000-000033040000}"/>
    <cellStyle name="Обычный 31 2 2" xfId="1077" xr:uid="{00000000-0005-0000-0000-000034040000}"/>
    <cellStyle name="Обычный 31 2 3" xfId="1078" xr:uid="{00000000-0005-0000-0000-000035040000}"/>
    <cellStyle name="Обычный 31 2 4" xfId="1079" xr:uid="{00000000-0005-0000-0000-000036040000}"/>
    <cellStyle name="Обычный 31 20" xfId="1080" xr:uid="{00000000-0005-0000-0000-000037040000}"/>
    <cellStyle name="Обычный 31 3" xfId="1081" xr:uid="{00000000-0005-0000-0000-000038040000}"/>
    <cellStyle name="Обычный 31 3 2" xfId="1082" xr:uid="{00000000-0005-0000-0000-000039040000}"/>
    <cellStyle name="Обычный 31 3 3" xfId="1083" xr:uid="{00000000-0005-0000-0000-00003A040000}"/>
    <cellStyle name="Обычный 31 4" xfId="1084" xr:uid="{00000000-0005-0000-0000-00003B040000}"/>
    <cellStyle name="Обычный 31 4 2" xfId="1085" xr:uid="{00000000-0005-0000-0000-00003C040000}"/>
    <cellStyle name="Обычный 31 4 3" xfId="1086" xr:uid="{00000000-0005-0000-0000-00003D040000}"/>
    <cellStyle name="Обычный 31 5" xfId="1087" xr:uid="{00000000-0005-0000-0000-00003E040000}"/>
    <cellStyle name="Обычный 31 5 2" xfId="1088" xr:uid="{00000000-0005-0000-0000-00003F040000}"/>
    <cellStyle name="Обычный 31 5 3" xfId="1089" xr:uid="{00000000-0005-0000-0000-000040040000}"/>
    <cellStyle name="Обычный 31 6" xfId="1090" xr:uid="{00000000-0005-0000-0000-000041040000}"/>
    <cellStyle name="Обычный 31 6 2" xfId="1091" xr:uid="{00000000-0005-0000-0000-000042040000}"/>
    <cellStyle name="Обычный 31 6 3" xfId="1092" xr:uid="{00000000-0005-0000-0000-000043040000}"/>
    <cellStyle name="Обычный 31 7" xfId="1093" xr:uid="{00000000-0005-0000-0000-000044040000}"/>
    <cellStyle name="Обычный 31 7 2" xfId="1094" xr:uid="{00000000-0005-0000-0000-000045040000}"/>
    <cellStyle name="Обычный 31 7 3" xfId="1095" xr:uid="{00000000-0005-0000-0000-000046040000}"/>
    <cellStyle name="Обычный 31 8" xfId="1096" xr:uid="{00000000-0005-0000-0000-000047040000}"/>
    <cellStyle name="Обычный 31 8 2" xfId="1097" xr:uid="{00000000-0005-0000-0000-000048040000}"/>
    <cellStyle name="Обычный 31 8 3" xfId="1098" xr:uid="{00000000-0005-0000-0000-000049040000}"/>
    <cellStyle name="Обычный 31 9" xfId="1099" xr:uid="{00000000-0005-0000-0000-00004A040000}"/>
    <cellStyle name="Обычный 31 9 2" xfId="1100" xr:uid="{00000000-0005-0000-0000-00004B040000}"/>
    <cellStyle name="Обычный 31 9 3" xfId="1101" xr:uid="{00000000-0005-0000-0000-00004C040000}"/>
    <cellStyle name="Обычный 32" xfId="1102" xr:uid="{00000000-0005-0000-0000-00004D040000}"/>
    <cellStyle name="Обычный 32 10" xfId="1103" xr:uid="{00000000-0005-0000-0000-00004E040000}"/>
    <cellStyle name="Обычный 32 10 2" xfId="1104" xr:uid="{00000000-0005-0000-0000-00004F040000}"/>
    <cellStyle name="Обычный 32 10 3" xfId="1105" xr:uid="{00000000-0005-0000-0000-000050040000}"/>
    <cellStyle name="Обычный 32 11" xfId="1106" xr:uid="{00000000-0005-0000-0000-000051040000}"/>
    <cellStyle name="Обычный 32 11 2" xfId="1107" xr:uid="{00000000-0005-0000-0000-000052040000}"/>
    <cellStyle name="Обычный 32 11 3" xfId="1108" xr:uid="{00000000-0005-0000-0000-000053040000}"/>
    <cellStyle name="Обычный 32 12" xfId="1109" xr:uid="{00000000-0005-0000-0000-000054040000}"/>
    <cellStyle name="Обычный 32 12 2" xfId="1110" xr:uid="{00000000-0005-0000-0000-000055040000}"/>
    <cellStyle name="Обычный 32 12 3" xfId="1111" xr:uid="{00000000-0005-0000-0000-000056040000}"/>
    <cellStyle name="Обычный 32 13" xfId="1112" xr:uid="{00000000-0005-0000-0000-000057040000}"/>
    <cellStyle name="Обычный 32 13 2" xfId="1113" xr:uid="{00000000-0005-0000-0000-000058040000}"/>
    <cellStyle name="Обычный 32 13 3" xfId="1114" xr:uid="{00000000-0005-0000-0000-000059040000}"/>
    <cellStyle name="Обычный 32 14" xfId="1115" xr:uid="{00000000-0005-0000-0000-00005A040000}"/>
    <cellStyle name="Обычный 32 14 2" xfId="1116" xr:uid="{00000000-0005-0000-0000-00005B040000}"/>
    <cellStyle name="Обычный 32 14 3" xfId="1117" xr:uid="{00000000-0005-0000-0000-00005C040000}"/>
    <cellStyle name="Обычный 32 15" xfId="1118" xr:uid="{00000000-0005-0000-0000-00005D040000}"/>
    <cellStyle name="Обычный 32 15 2" xfId="1119" xr:uid="{00000000-0005-0000-0000-00005E040000}"/>
    <cellStyle name="Обычный 32 15 3" xfId="1120" xr:uid="{00000000-0005-0000-0000-00005F040000}"/>
    <cellStyle name="Обычный 32 16" xfId="1121" xr:uid="{00000000-0005-0000-0000-000060040000}"/>
    <cellStyle name="Обычный 32 16 2" xfId="1122" xr:uid="{00000000-0005-0000-0000-000061040000}"/>
    <cellStyle name="Обычный 32 16 3" xfId="1123" xr:uid="{00000000-0005-0000-0000-000062040000}"/>
    <cellStyle name="Обычный 32 17" xfId="1124" xr:uid="{00000000-0005-0000-0000-000063040000}"/>
    <cellStyle name="Обычный 32 17 2" xfId="1125" xr:uid="{00000000-0005-0000-0000-000064040000}"/>
    <cellStyle name="Обычный 32 17 3" xfId="1126" xr:uid="{00000000-0005-0000-0000-000065040000}"/>
    <cellStyle name="Обычный 32 18" xfId="1127" xr:uid="{00000000-0005-0000-0000-000066040000}"/>
    <cellStyle name="Обычный 32 18 2" xfId="1128" xr:uid="{00000000-0005-0000-0000-000067040000}"/>
    <cellStyle name="Обычный 32 19" xfId="1129" xr:uid="{00000000-0005-0000-0000-000068040000}"/>
    <cellStyle name="Обычный 32 2" xfId="1130" xr:uid="{00000000-0005-0000-0000-000069040000}"/>
    <cellStyle name="Обычный 32 2 2" xfId="1131" xr:uid="{00000000-0005-0000-0000-00006A040000}"/>
    <cellStyle name="Обычный 32 2 3" xfId="1132" xr:uid="{00000000-0005-0000-0000-00006B040000}"/>
    <cellStyle name="Обычный 32 2 4" xfId="1133" xr:uid="{00000000-0005-0000-0000-00006C040000}"/>
    <cellStyle name="Обычный 32 20" xfId="1134" xr:uid="{00000000-0005-0000-0000-00006D040000}"/>
    <cellStyle name="Обычный 32 3" xfId="1135" xr:uid="{00000000-0005-0000-0000-00006E040000}"/>
    <cellStyle name="Обычный 32 3 2" xfId="1136" xr:uid="{00000000-0005-0000-0000-00006F040000}"/>
    <cellStyle name="Обычный 32 3 3" xfId="1137" xr:uid="{00000000-0005-0000-0000-000070040000}"/>
    <cellStyle name="Обычный 32 4" xfId="1138" xr:uid="{00000000-0005-0000-0000-000071040000}"/>
    <cellStyle name="Обычный 32 4 2" xfId="1139" xr:uid="{00000000-0005-0000-0000-000072040000}"/>
    <cellStyle name="Обычный 32 4 3" xfId="1140" xr:uid="{00000000-0005-0000-0000-000073040000}"/>
    <cellStyle name="Обычный 32 5" xfId="1141" xr:uid="{00000000-0005-0000-0000-000074040000}"/>
    <cellStyle name="Обычный 32 5 2" xfId="1142" xr:uid="{00000000-0005-0000-0000-000075040000}"/>
    <cellStyle name="Обычный 32 5 3" xfId="1143" xr:uid="{00000000-0005-0000-0000-000076040000}"/>
    <cellStyle name="Обычный 32 6" xfId="1144" xr:uid="{00000000-0005-0000-0000-000077040000}"/>
    <cellStyle name="Обычный 32 6 2" xfId="1145" xr:uid="{00000000-0005-0000-0000-000078040000}"/>
    <cellStyle name="Обычный 32 6 3" xfId="1146" xr:uid="{00000000-0005-0000-0000-000079040000}"/>
    <cellStyle name="Обычный 32 7" xfId="1147" xr:uid="{00000000-0005-0000-0000-00007A040000}"/>
    <cellStyle name="Обычный 32 7 2" xfId="1148" xr:uid="{00000000-0005-0000-0000-00007B040000}"/>
    <cellStyle name="Обычный 32 7 3" xfId="1149" xr:uid="{00000000-0005-0000-0000-00007C040000}"/>
    <cellStyle name="Обычный 32 8" xfId="1150" xr:uid="{00000000-0005-0000-0000-00007D040000}"/>
    <cellStyle name="Обычный 32 8 2" xfId="1151" xr:uid="{00000000-0005-0000-0000-00007E040000}"/>
    <cellStyle name="Обычный 32 8 3" xfId="1152" xr:uid="{00000000-0005-0000-0000-00007F040000}"/>
    <cellStyle name="Обычный 32 9" xfId="1153" xr:uid="{00000000-0005-0000-0000-000080040000}"/>
    <cellStyle name="Обычный 32 9 2" xfId="1154" xr:uid="{00000000-0005-0000-0000-000081040000}"/>
    <cellStyle name="Обычный 32 9 3" xfId="1155" xr:uid="{00000000-0005-0000-0000-000082040000}"/>
    <cellStyle name="Обычный 33" xfId="1156" xr:uid="{00000000-0005-0000-0000-000083040000}"/>
    <cellStyle name="Обычный 33 10" xfId="1157" xr:uid="{00000000-0005-0000-0000-000084040000}"/>
    <cellStyle name="Обычный 33 10 2" xfId="1158" xr:uid="{00000000-0005-0000-0000-000085040000}"/>
    <cellStyle name="Обычный 33 10 3" xfId="1159" xr:uid="{00000000-0005-0000-0000-000086040000}"/>
    <cellStyle name="Обычный 33 11" xfId="1160" xr:uid="{00000000-0005-0000-0000-000087040000}"/>
    <cellStyle name="Обычный 33 11 2" xfId="1161" xr:uid="{00000000-0005-0000-0000-000088040000}"/>
    <cellStyle name="Обычный 33 11 3" xfId="1162" xr:uid="{00000000-0005-0000-0000-000089040000}"/>
    <cellStyle name="Обычный 33 12" xfId="1163" xr:uid="{00000000-0005-0000-0000-00008A040000}"/>
    <cellStyle name="Обычный 33 12 2" xfId="1164" xr:uid="{00000000-0005-0000-0000-00008B040000}"/>
    <cellStyle name="Обычный 33 12 3" xfId="1165" xr:uid="{00000000-0005-0000-0000-00008C040000}"/>
    <cellStyle name="Обычный 33 13" xfId="1166" xr:uid="{00000000-0005-0000-0000-00008D040000}"/>
    <cellStyle name="Обычный 33 13 2" xfId="1167" xr:uid="{00000000-0005-0000-0000-00008E040000}"/>
    <cellStyle name="Обычный 33 13 3" xfId="1168" xr:uid="{00000000-0005-0000-0000-00008F040000}"/>
    <cellStyle name="Обычный 33 14" xfId="1169" xr:uid="{00000000-0005-0000-0000-000090040000}"/>
    <cellStyle name="Обычный 33 14 2" xfId="1170" xr:uid="{00000000-0005-0000-0000-000091040000}"/>
    <cellStyle name="Обычный 33 14 3" xfId="1171" xr:uid="{00000000-0005-0000-0000-000092040000}"/>
    <cellStyle name="Обычный 33 15" xfId="1172" xr:uid="{00000000-0005-0000-0000-000093040000}"/>
    <cellStyle name="Обычный 33 15 2" xfId="1173" xr:uid="{00000000-0005-0000-0000-000094040000}"/>
    <cellStyle name="Обычный 33 15 3" xfId="1174" xr:uid="{00000000-0005-0000-0000-000095040000}"/>
    <cellStyle name="Обычный 33 16" xfId="1175" xr:uid="{00000000-0005-0000-0000-000096040000}"/>
    <cellStyle name="Обычный 33 16 2" xfId="1176" xr:uid="{00000000-0005-0000-0000-000097040000}"/>
    <cellStyle name="Обычный 33 16 3" xfId="1177" xr:uid="{00000000-0005-0000-0000-000098040000}"/>
    <cellStyle name="Обычный 33 17" xfId="1178" xr:uid="{00000000-0005-0000-0000-000099040000}"/>
    <cellStyle name="Обычный 33 17 2" xfId="1179" xr:uid="{00000000-0005-0000-0000-00009A040000}"/>
    <cellStyle name="Обычный 33 17 3" xfId="1180" xr:uid="{00000000-0005-0000-0000-00009B040000}"/>
    <cellStyle name="Обычный 33 18" xfId="1181" xr:uid="{00000000-0005-0000-0000-00009C040000}"/>
    <cellStyle name="Обычный 33 18 2" xfId="1182" xr:uid="{00000000-0005-0000-0000-00009D040000}"/>
    <cellStyle name="Обычный 33 19" xfId="1183" xr:uid="{00000000-0005-0000-0000-00009E040000}"/>
    <cellStyle name="Обычный 33 2" xfId="1184" xr:uid="{00000000-0005-0000-0000-00009F040000}"/>
    <cellStyle name="Обычный 33 2 10" xfId="1185" xr:uid="{00000000-0005-0000-0000-0000A0040000}"/>
    <cellStyle name="Обычный 33 2 2" xfId="1186" xr:uid="{00000000-0005-0000-0000-0000A1040000}"/>
    <cellStyle name="Обычный 33 2 2 2" xfId="1187" xr:uid="{00000000-0005-0000-0000-0000A2040000}"/>
    <cellStyle name="Обычный 33 2 3" xfId="1188" xr:uid="{00000000-0005-0000-0000-0000A3040000}"/>
    <cellStyle name="Обычный 33 2 3 2" xfId="1189" xr:uid="{00000000-0005-0000-0000-0000A4040000}"/>
    <cellStyle name="Обычный 33 2 3 2 2" xfId="1190" xr:uid="{00000000-0005-0000-0000-0000A5040000}"/>
    <cellStyle name="Обычный 33 2 3 2 2 2" xfId="1191" xr:uid="{00000000-0005-0000-0000-0000A6040000}"/>
    <cellStyle name="Обычный 33 2 3 2 2 2 2" xfId="1192" xr:uid="{00000000-0005-0000-0000-0000A7040000}"/>
    <cellStyle name="Обычный 33 2 3 2 2 3" xfId="1193" xr:uid="{00000000-0005-0000-0000-0000A8040000}"/>
    <cellStyle name="Обычный 33 2 3 2 2 3 2" xfId="1194" xr:uid="{00000000-0005-0000-0000-0000A9040000}"/>
    <cellStyle name="Обычный 33 2 3 2 2 4" xfId="1195" xr:uid="{00000000-0005-0000-0000-0000AA040000}"/>
    <cellStyle name="Обычный 33 2 3 2 3" xfId="1196" xr:uid="{00000000-0005-0000-0000-0000AB040000}"/>
    <cellStyle name="Обычный 33 2 3 3" xfId="1197" xr:uid="{00000000-0005-0000-0000-0000AC040000}"/>
    <cellStyle name="Обычный 33 2 4" xfId="1198" xr:uid="{00000000-0005-0000-0000-0000AD040000}"/>
    <cellStyle name="Обычный 33 2 4 2" xfId="1199" xr:uid="{00000000-0005-0000-0000-0000AE040000}"/>
    <cellStyle name="Обычный 33 2 4 2 2" xfId="1200" xr:uid="{00000000-0005-0000-0000-0000AF040000}"/>
    <cellStyle name="Обычный 33 2 4 2 2 2" xfId="1201" xr:uid="{00000000-0005-0000-0000-0000B0040000}"/>
    <cellStyle name="Обычный 33 2 4 2 2 2 2" xfId="1202" xr:uid="{00000000-0005-0000-0000-0000B1040000}"/>
    <cellStyle name="Обычный 33 2 4 2 2 3" xfId="1203" xr:uid="{00000000-0005-0000-0000-0000B2040000}"/>
    <cellStyle name="Обычный 33 2 4 2 3" xfId="1204" xr:uid="{00000000-0005-0000-0000-0000B3040000}"/>
    <cellStyle name="Обычный 33 2 4 3" xfId="1205" xr:uid="{00000000-0005-0000-0000-0000B4040000}"/>
    <cellStyle name="Обычный 33 2 4 3 2" xfId="1206" xr:uid="{00000000-0005-0000-0000-0000B5040000}"/>
    <cellStyle name="Обычный 33 2 4 3 2 2" xfId="1207" xr:uid="{00000000-0005-0000-0000-0000B6040000}"/>
    <cellStyle name="Обычный 33 2 4 3 2 2 2" xfId="1208" xr:uid="{00000000-0005-0000-0000-0000B7040000}"/>
    <cellStyle name="Обычный 33 2 4 3 2 3" xfId="1209" xr:uid="{00000000-0005-0000-0000-0000B8040000}"/>
    <cellStyle name="Обычный 33 2 4 3 3" xfId="1210" xr:uid="{00000000-0005-0000-0000-0000B9040000}"/>
    <cellStyle name="Обычный 33 2 4 4" xfId="1211" xr:uid="{00000000-0005-0000-0000-0000BA040000}"/>
    <cellStyle name="Обычный 33 2 4 4 2" xfId="1212" xr:uid="{00000000-0005-0000-0000-0000BB040000}"/>
    <cellStyle name="Обычный 33 2 4 4 2 2" xfId="1213" xr:uid="{00000000-0005-0000-0000-0000BC040000}"/>
    <cellStyle name="Обычный 33 2 4 4 3" xfId="1214" xr:uid="{00000000-0005-0000-0000-0000BD040000}"/>
    <cellStyle name="Обычный 33 2 4 5" xfId="1215" xr:uid="{00000000-0005-0000-0000-0000BE040000}"/>
    <cellStyle name="Обычный 33 2 5" xfId="1216" xr:uid="{00000000-0005-0000-0000-0000BF040000}"/>
    <cellStyle name="Обычный 33 2 5 2" xfId="1217" xr:uid="{00000000-0005-0000-0000-0000C0040000}"/>
    <cellStyle name="Обычный 33 2 6" xfId="1218" xr:uid="{00000000-0005-0000-0000-0000C1040000}"/>
    <cellStyle name="Обычный 33 2 6 2" xfId="1219" xr:uid="{00000000-0005-0000-0000-0000C2040000}"/>
    <cellStyle name="Обычный 33 2 7" xfId="1220" xr:uid="{00000000-0005-0000-0000-0000C3040000}"/>
    <cellStyle name="Обычный 33 2 8" xfId="1221" xr:uid="{00000000-0005-0000-0000-0000C4040000}"/>
    <cellStyle name="Обычный 33 2 9" xfId="1222" xr:uid="{00000000-0005-0000-0000-0000C5040000}"/>
    <cellStyle name="Обычный 33 20" xfId="1223" xr:uid="{00000000-0005-0000-0000-0000C6040000}"/>
    <cellStyle name="Обычный 33 3" xfId="1224" xr:uid="{00000000-0005-0000-0000-0000C7040000}"/>
    <cellStyle name="Обычный 33 3 2" xfId="1225" xr:uid="{00000000-0005-0000-0000-0000C8040000}"/>
    <cellStyle name="Обычный 33 3 3" xfId="1226" xr:uid="{00000000-0005-0000-0000-0000C9040000}"/>
    <cellStyle name="Обычный 33 3 4" xfId="1227" xr:uid="{00000000-0005-0000-0000-0000CA040000}"/>
    <cellStyle name="Обычный 33 4" xfId="1228" xr:uid="{00000000-0005-0000-0000-0000CB040000}"/>
    <cellStyle name="Обычный 33 4 2" xfId="1229" xr:uid="{00000000-0005-0000-0000-0000CC040000}"/>
    <cellStyle name="Обычный 33 4 3" xfId="1230" xr:uid="{00000000-0005-0000-0000-0000CD040000}"/>
    <cellStyle name="Обычный 33 5" xfId="1231" xr:uid="{00000000-0005-0000-0000-0000CE040000}"/>
    <cellStyle name="Обычный 33 5 2" xfId="1232" xr:uid="{00000000-0005-0000-0000-0000CF040000}"/>
    <cellStyle name="Обычный 33 5 3" xfId="1233" xr:uid="{00000000-0005-0000-0000-0000D0040000}"/>
    <cellStyle name="Обычный 33 6" xfId="1234" xr:uid="{00000000-0005-0000-0000-0000D1040000}"/>
    <cellStyle name="Обычный 33 6 2" xfId="1235" xr:uid="{00000000-0005-0000-0000-0000D2040000}"/>
    <cellStyle name="Обычный 33 6 3" xfId="1236" xr:uid="{00000000-0005-0000-0000-0000D3040000}"/>
    <cellStyle name="Обычный 33 7" xfId="1237" xr:uid="{00000000-0005-0000-0000-0000D4040000}"/>
    <cellStyle name="Обычный 33 7 2" xfId="1238" xr:uid="{00000000-0005-0000-0000-0000D5040000}"/>
    <cellStyle name="Обычный 33 7 3" xfId="1239" xr:uid="{00000000-0005-0000-0000-0000D6040000}"/>
    <cellStyle name="Обычный 33 8" xfId="1240" xr:uid="{00000000-0005-0000-0000-0000D7040000}"/>
    <cellStyle name="Обычный 33 8 2" xfId="1241" xr:uid="{00000000-0005-0000-0000-0000D8040000}"/>
    <cellStyle name="Обычный 33 8 3" xfId="1242" xr:uid="{00000000-0005-0000-0000-0000D9040000}"/>
    <cellStyle name="Обычный 33 9" xfId="1243" xr:uid="{00000000-0005-0000-0000-0000DA040000}"/>
    <cellStyle name="Обычный 33 9 2" xfId="1244" xr:uid="{00000000-0005-0000-0000-0000DB040000}"/>
    <cellStyle name="Обычный 33 9 3" xfId="1245" xr:uid="{00000000-0005-0000-0000-0000DC040000}"/>
    <cellStyle name="Обычный 34" xfId="1246" xr:uid="{00000000-0005-0000-0000-0000DD040000}"/>
    <cellStyle name="Обычный 34 2" xfId="1247" xr:uid="{00000000-0005-0000-0000-0000DE040000}"/>
    <cellStyle name="Обычный 34 2 2" xfId="1248" xr:uid="{00000000-0005-0000-0000-0000DF040000}"/>
    <cellStyle name="Обычный 34 2 3" xfId="1249" xr:uid="{00000000-0005-0000-0000-0000E0040000}"/>
    <cellStyle name="Обычный 34 2 4" xfId="1250" xr:uid="{00000000-0005-0000-0000-0000E1040000}"/>
    <cellStyle name="Обычный 34 3" xfId="1251" xr:uid="{00000000-0005-0000-0000-0000E2040000}"/>
    <cellStyle name="Обычный 34 3 2" xfId="1252" xr:uid="{00000000-0005-0000-0000-0000E3040000}"/>
    <cellStyle name="Обычный 34 3 2 2" xfId="1253" xr:uid="{00000000-0005-0000-0000-0000E4040000}"/>
    <cellStyle name="Обычный 34 3 2 2 2" xfId="1254" xr:uid="{00000000-0005-0000-0000-0000E5040000}"/>
    <cellStyle name="Обычный 34 3 2 2 2 2" xfId="1255" xr:uid="{00000000-0005-0000-0000-0000E6040000}"/>
    <cellStyle name="Обычный 34 3 2 2 2 3" xfId="1256" xr:uid="{00000000-0005-0000-0000-0000E7040000}"/>
    <cellStyle name="Обычный 34 3 2 2 3" xfId="1257" xr:uid="{00000000-0005-0000-0000-0000E8040000}"/>
    <cellStyle name="Обычный 34 3 2 3" xfId="1258" xr:uid="{00000000-0005-0000-0000-0000E9040000}"/>
    <cellStyle name="Обычный 34 3 3" xfId="1259" xr:uid="{00000000-0005-0000-0000-0000EA040000}"/>
    <cellStyle name="Обычный 34 4" xfId="1260" xr:uid="{00000000-0005-0000-0000-0000EB040000}"/>
    <cellStyle name="Обычный 34 4 2" xfId="1261" xr:uid="{00000000-0005-0000-0000-0000EC040000}"/>
    <cellStyle name="Обычный 34 5" xfId="1262" xr:uid="{00000000-0005-0000-0000-0000ED040000}"/>
    <cellStyle name="Обычный 34 6" xfId="1263" xr:uid="{00000000-0005-0000-0000-0000EE040000}"/>
    <cellStyle name="Обычный 34 7" xfId="1264" xr:uid="{00000000-0005-0000-0000-0000EF040000}"/>
    <cellStyle name="Обычный 35" xfId="1265" xr:uid="{00000000-0005-0000-0000-0000F0040000}"/>
    <cellStyle name="Обычный 35 10" xfId="1266" xr:uid="{00000000-0005-0000-0000-0000F1040000}"/>
    <cellStyle name="Обычный 35 10 2" xfId="1267" xr:uid="{00000000-0005-0000-0000-0000F2040000}"/>
    <cellStyle name="Обычный 35 10 3" xfId="1268" xr:uid="{00000000-0005-0000-0000-0000F3040000}"/>
    <cellStyle name="Обычный 35 11" xfId="1269" xr:uid="{00000000-0005-0000-0000-0000F4040000}"/>
    <cellStyle name="Обычный 35 11 2" xfId="1270" xr:uid="{00000000-0005-0000-0000-0000F5040000}"/>
    <cellStyle name="Обычный 35 11 3" xfId="1271" xr:uid="{00000000-0005-0000-0000-0000F6040000}"/>
    <cellStyle name="Обычный 35 12" xfId="1272" xr:uid="{00000000-0005-0000-0000-0000F7040000}"/>
    <cellStyle name="Обычный 35 12 2" xfId="1273" xr:uid="{00000000-0005-0000-0000-0000F8040000}"/>
    <cellStyle name="Обычный 35 12 3" xfId="1274" xr:uid="{00000000-0005-0000-0000-0000F9040000}"/>
    <cellStyle name="Обычный 35 13" xfId="1275" xr:uid="{00000000-0005-0000-0000-0000FA040000}"/>
    <cellStyle name="Обычный 35 13 2" xfId="1276" xr:uid="{00000000-0005-0000-0000-0000FB040000}"/>
    <cellStyle name="Обычный 35 13 3" xfId="1277" xr:uid="{00000000-0005-0000-0000-0000FC040000}"/>
    <cellStyle name="Обычный 35 14" xfId="1278" xr:uid="{00000000-0005-0000-0000-0000FD040000}"/>
    <cellStyle name="Обычный 35 14 2" xfId="1279" xr:uid="{00000000-0005-0000-0000-0000FE040000}"/>
    <cellStyle name="Обычный 35 14 3" xfId="1280" xr:uid="{00000000-0005-0000-0000-0000FF040000}"/>
    <cellStyle name="Обычный 35 15" xfId="1281" xr:uid="{00000000-0005-0000-0000-000000050000}"/>
    <cellStyle name="Обычный 35 15 2" xfId="1282" xr:uid="{00000000-0005-0000-0000-000001050000}"/>
    <cellStyle name="Обычный 35 15 3" xfId="1283" xr:uid="{00000000-0005-0000-0000-000002050000}"/>
    <cellStyle name="Обычный 35 16" xfId="1284" xr:uid="{00000000-0005-0000-0000-000003050000}"/>
    <cellStyle name="Обычный 35 16 2" xfId="1285" xr:uid="{00000000-0005-0000-0000-000004050000}"/>
    <cellStyle name="Обычный 35 16 3" xfId="1286" xr:uid="{00000000-0005-0000-0000-000005050000}"/>
    <cellStyle name="Обычный 35 17" xfId="1287" xr:uid="{00000000-0005-0000-0000-000006050000}"/>
    <cellStyle name="Обычный 35 17 2" xfId="1288" xr:uid="{00000000-0005-0000-0000-000007050000}"/>
    <cellStyle name="Обычный 35 17 3" xfId="1289" xr:uid="{00000000-0005-0000-0000-000008050000}"/>
    <cellStyle name="Обычный 35 18" xfId="1290" xr:uid="{00000000-0005-0000-0000-000009050000}"/>
    <cellStyle name="Обычный 35 18 2" xfId="1291" xr:uid="{00000000-0005-0000-0000-00000A050000}"/>
    <cellStyle name="Обычный 35 19" xfId="1292" xr:uid="{00000000-0005-0000-0000-00000B050000}"/>
    <cellStyle name="Обычный 35 2" xfId="1293" xr:uid="{00000000-0005-0000-0000-00000C050000}"/>
    <cellStyle name="Обычный 35 2 2" xfId="1294" xr:uid="{00000000-0005-0000-0000-00000D050000}"/>
    <cellStyle name="Обычный 35 2 3" xfId="1295" xr:uid="{00000000-0005-0000-0000-00000E050000}"/>
    <cellStyle name="Обычный 35 3" xfId="1296" xr:uid="{00000000-0005-0000-0000-00000F050000}"/>
    <cellStyle name="Обычный 35 3 2" xfId="1297" xr:uid="{00000000-0005-0000-0000-000010050000}"/>
    <cellStyle name="Обычный 35 3 3" xfId="1298" xr:uid="{00000000-0005-0000-0000-000011050000}"/>
    <cellStyle name="Обычный 35 4" xfId="1299" xr:uid="{00000000-0005-0000-0000-000012050000}"/>
    <cellStyle name="Обычный 35 4 2" xfId="1300" xr:uid="{00000000-0005-0000-0000-000013050000}"/>
    <cellStyle name="Обычный 35 4 3" xfId="1301" xr:uid="{00000000-0005-0000-0000-000014050000}"/>
    <cellStyle name="Обычный 35 5" xfId="1302" xr:uid="{00000000-0005-0000-0000-000015050000}"/>
    <cellStyle name="Обычный 35 5 2" xfId="1303" xr:uid="{00000000-0005-0000-0000-000016050000}"/>
    <cellStyle name="Обычный 35 5 3" xfId="1304" xr:uid="{00000000-0005-0000-0000-000017050000}"/>
    <cellStyle name="Обычный 35 6" xfId="1305" xr:uid="{00000000-0005-0000-0000-000018050000}"/>
    <cellStyle name="Обычный 35 6 2" xfId="1306" xr:uid="{00000000-0005-0000-0000-000019050000}"/>
    <cellStyle name="Обычный 35 6 3" xfId="1307" xr:uid="{00000000-0005-0000-0000-00001A050000}"/>
    <cellStyle name="Обычный 35 7" xfId="1308" xr:uid="{00000000-0005-0000-0000-00001B050000}"/>
    <cellStyle name="Обычный 35 7 2" xfId="1309" xr:uid="{00000000-0005-0000-0000-00001C050000}"/>
    <cellStyle name="Обычный 35 7 3" xfId="1310" xr:uid="{00000000-0005-0000-0000-00001D050000}"/>
    <cellStyle name="Обычный 35 8" xfId="1311" xr:uid="{00000000-0005-0000-0000-00001E050000}"/>
    <cellStyle name="Обычный 35 8 2" xfId="1312" xr:uid="{00000000-0005-0000-0000-00001F050000}"/>
    <cellStyle name="Обычный 35 8 3" xfId="1313" xr:uid="{00000000-0005-0000-0000-000020050000}"/>
    <cellStyle name="Обычный 35 9" xfId="1314" xr:uid="{00000000-0005-0000-0000-000021050000}"/>
    <cellStyle name="Обычный 35 9 2" xfId="1315" xr:uid="{00000000-0005-0000-0000-000022050000}"/>
    <cellStyle name="Обычный 35 9 3" xfId="1316" xr:uid="{00000000-0005-0000-0000-000023050000}"/>
    <cellStyle name="Обычный 36" xfId="1317" xr:uid="{00000000-0005-0000-0000-000024050000}"/>
    <cellStyle name="Обычный 36 10" xfId="1318" xr:uid="{00000000-0005-0000-0000-000025050000}"/>
    <cellStyle name="Обычный 36 10 2" xfId="1319" xr:uid="{00000000-0005-0000-0000-000026050000}"/>
    <cellStyle name="Обычный 36 10 3" xfId="1320" xr:uid="{00000000-0005-0000-0000-000027050000}"/>
    <cellStyle name="Обычный 36 11" xfId="1321" xr:uid="{00000000-0005-0000-0000-000028050000}"/>
    <cellStyle name="Обычный 36 11 2" xfId="1322" xr:uid="{00000000-0005-0000-0000-000029050000}"/>
    <cellStyle name="Обычный 36 11 3" xfId="1323" xr:uid="{00000000-0005-0000-0000-00002A050000}"/>
    <cellStyle name="Обычный 36 12" xfId="1324" xr:uid="{00000000-0005-0000-0000-00002B050000}"/>
    <cellStyle name="Обычный 36 12 2" xfId="1325" xr:uid="{00000000-0005-0000-0000-00002C050000}"/>
    <cellStyle name="Обычный 36 12 3" xfId="1326" xr:uid="{00000000-0005-0000-0000-00002D050000}"/>
    <cellStyle name="Обычный 36 13" xfId="1327" xr:uid="{00000000-0005-0000-0000-00002E050000}"/>
    <cellStyle name="Обычный 36 13 2" xfId="1328" xr:uid="{00000000-0005-0000-0000-00002F050000}"/>
    <cellStyle name="Обычный 36 13 3" xfId="1329" xr:uid="{00000000-0005-0000-0000-000030050000}"/>
    <cellStyle name="Обычный 36 14" xfId="1330" xr:uid="{00000000-0005-0000-0000-000031050000}"/>
    <cellStyle name="Обычный 36 14 2" xfId="1331" xr:uid="{00000000-0005-0000-0000-000032050000}"/>
    <cellStyle name="Обычный 36 14 3" xfId="1332" xr:uid="{00000000-0005-0000-0000-000033050000}"/>
    <cellStyle name="Обычный 36 15" xfId="1333" xr:uid="{00000000-0005-0000-0000-000034050000}"/>
    <cellStyle name="Обычный 36 15 2" xfId="1334" xr:uid="{00000000-0005-0000-0000-000035050000}"/>
    <cellStyle name="Обычный 36 15 3" xfId="1335" xr:uid="{00000000-0005-0000-0000-000036050000}"/>
    <cellStyle name="Обычный 36 16" xfId="1336" xr:uid="{00000000-0005-0000-0000-000037050000}"/>
    <cellStyle name="Обычный 36 16 2" xfId="1337" xr:uid="{00000000-0005-0000-0000-000038050000}"/>
    <cellStyle name="Обычный 36 16 3" xfId="1338" xr:uid="{00000000-0005-0000-0000-000039050000}"/>
    <cellStyle name="Обычный 36 17" xfId="1339" xr:uid="{00000000-0005-0000-0000-00003A050000}"/>
    <cellStyle name="Обычный 36 17 2" xfId="1340" xr:uid="{00000000-0005-0000-0000-00003B050000}"/>
    <cellStyle name="Обычный 36 17 3" xfId="1341" xr:uid="{00000000-0005-0000-0000-00003C050000}"/>
    <cellStyle name="Обычный 36 18" xfId="1342" xr:uid="{00000000-0005-0000-0000-00003D050000}"/>
    <cellStyle name="Обычный 36 18 2" xfId="1343" xr:uid="{00000000-0005-0000-0000-00003E050000}"/>
    <cellStyle name="Обычный 36 19" xfId="1344" xr:uid="{00000000-0005-0000-0000-00003F050000}"/>
    <cellStyle name="Обычный 36 2" xfId="1345" xr:uid="{00000000-0005-0000-0000-000040050000}"/>
    <cellStyle name="Обычный 36 2 2" xfId="1346" xr:uid="{00000000-0005-0000-0000-000041050000}"/>
    <cellStyle name="Обычный 36 2 3" xfId="1347" xr:uid="{00000000-0005-0000-0000-000042050000}"/>
    <cellStyle name="Обычный 36 3" xfId="1348" xr:uid="{00000000-0005-0000-0000-000043050000}"/>
    <cellStyle name="Обычный 36 3 2" xfId="1349" xr:uid="{00000000-0005-0000-0000-000044050000}"/>
    <cellStyle name="Обычный 36 3 3" xfId="1350" xr:uid="{00000000-0005-0000-0000-000045050000}"/>
    <cellStyle name="Обычный 36 4" xfId="1351" xr:uid="{00000000-0005-0000-0000-000046050000}"/>
    <cellStyle name="Обычный 36 4 2" xfId="1352" xr:uid="{00000000-0005-0000-0000-000047050000}"/>
    <cellStyle name="Обычный 36 4 3" xfId="1353" xr:uid="{00000000-0005-0000-0000-000048050000}"/>
    <cellStyle name="Обычный 36 5" xfId="1354" xr:uid="{00000000-0005-0000-0000-000049050000}"/>
    <cellStyle name="Обычный 36 5 2" xfId="1355" xr:uid="{00000000-0005-0000-0000-00004A050000}"/>
    <cellStyle name="Обычный 36 5 3" xfId="1356" xr:uid="{00000000-0005-0000-0000-00004B050000}"/>
    <cellStyle name="Обычный 36 6" xfId="1357" xr:uid="{00000000-0005-0000-0000-00004C050000}"/>
    <cellStyle name="Обычный 36 6 2" xfId="1358" xr:uid="{00000000-0005-0000-0000-00004D050000}"/>
    <cellStyle name="Обычный 36 6 3" xfId="1359" xr:uid="{00000000-0005-0000-0000-00004E050000}"/>
    <cellStyle name="Обычный 36 7" xfId="1360" xr:uid="{00000000-0005-0000-0000-00004F050000}"/>
    <cellStyle name="Обычный 36 7 2" xfId="1361" xr:uid="{00000000-0005-0000-0000-000050050000}"/>
    <cellStyle name="Обычный 36 7 3" xfId="1362" xr:uid="{00000000-0005-0000-0000-000051050000}"/>
    <cellStyle name="Обычный 36 8" xfId="1363" xr:uid="{00000000-0005-0000-0000-000052050000}"/>
    <cellStyle name="Обычный 36 8 2" xfId="1364" xr:uid="{00000000-0005-0000-0000-000053050000}"/>
    <cellStyle name="Обычный 36 8 3" xfId="1365" xr:uid="{00000000-0005-0000-0000-000054050000}"/>
    <cellStyle name="Обычный 36 9" xfId="1366" xr:uid="{00000000-0005-0000-0000-000055050000}"/>
    <cellStyle name="Обычный 36 9 2" xfId="1367" xr:uid="{00000000-0005-0000-0000-000056050000}"/>
    <cellStyle name="Обычный 36 9 3" xfId="1368" xr:uid="{00000000-0005-0000-0000-000057050000}"/>
    <cellStyle name="Обычный 37" xfId="1369" xr:uid="{00000000-0005-0000-0000-000058050000}"/>
    <cellStyle name="Обычный 37 10" xfId="1370" xr:uid="{00000000-0005-0000-0000-000059050000}"/>
    <cellStyle name="Обычный 37 10 2" xfId="1371" xr:uid="{00000000-0005-0000-0000-00005A050000}"/>
    <cellStyle name="Обычный 37 10 3" xfId="1372" xr:uid="{00000000-0005-0000-0000-00005B050000}"/>
    <cellStyle name="Обычный 37 11" xfId="1373" xr:uid="{00000000-0005-0000-0000-00005C050000}"/>
    <cellStyle name="Обычный 37 11 2" xfId="1374" xr:uid="{00000000-0005-0000-0000-00005D050000}"/>
    <cellStyle name="Обычный 37 11 3" xfId="1375" xr:uid="{00000000-0005-0000-0000-00005E050000}"/>
    <cellStyle name="Обычный 37 12" xfId="1376" xr:uid="{00000000-0005-0000-0000-00005F050000}"/>
    <cellStyle name="Обычный 37 12 2" xfId="1377" xr:uid="{00000000-0005-0000-0000-000060050000}"/>
    <cellStyle name="Обычный 37 12 3" xfId="1378" xr:uid="{00000000-0005-0000-0000-000061050000}"/>
    <cellStyle name="Обычный 37 13" xfId="1379" xr:uid="{00000000-0005-0000-0000-000062050000}"/>
    <cellStyle name="Обычный 37 13 2" xfId="1380" xr:uid="{00000000-0005-0000-0000-000063050000}"/>
    <cellStyle name="Обычный 37 13 3" xfId="1381" xr:uid="{00000000-0005-0000-0000-000064050000}"/>
    <cellStyle name="Обычный 37 14" xfId="1382" xr:uid="{00000000-0005-0000-0000-000065050000}"/>
    <cellStyle name="Обычный 37 14 2" xfId="1383" xr:uid="{00000000-0005-0000-0000-000066050000}"/>
    <cellStyle name="Обычный 37 14 3" xfId="1384" xr:uid="{00000000-0005-0000-0000-000067050000}"/>
    <cellStyle name="Обычный 37 15" xfId="1385" xr:uid="{00000000-0005-0000-0000-000068050000}"/>
    <cellStyle name="Обычный 37 15 2" xfId="1386" xr:uid="{00000000-0005-0000-0000-000069050000}"/>
    <cellStyle name="Обычный 37 15 3" xfId="1387" xr:uid="{00000000-0005-0000-0000-00006A050000}"/>
    <cellStyle name="Обычный 37 16" xfId="1388" xr:uid="{00000000-0005-0000-0000-00006B050000}"/>
    <cellStyle name="Обычный 37 16 2" xfId="1389" xr:uid="{00000000-0005-0000-0000-00006C050000}"/>
    <cellStyle name="Обычный 37 16 3" xfId="1390" xr:uid="{00000000-0005-0000-0000-00006D050000}"/>
    <cellStyle name="Обычный 37 17" xfId="1391" xr:uid="{00000000-0005-0000-0000-00006E050000}"/>
    <cellStyle name="Обычный 37 17 2" xfId="1392" xr:uid="{00000000-0005-0000-0000-00006F050000}"/>
    <cellStyle name="Обычный 37 17 3" xfId="1393" xr:uid="{00000000-0005-0000-0000-000070050000}"/>
    <cellStyle name="Обычный 37 18" xfId="1394" xr:uid="{00000000-0005-0000-0000-000071050000}"/>
    <cellStyle name="Обычный 37 18 2" xfId="1395" xr:uid="{00000000-0005-0000-0000-000072050000}"/>
    <cellStyle name="Обычный 37 19" xfId="1396" xr:uid="{00000000-0005-0000-0000-000073050000}"/>
    <cellStyle name="Обычный 37 2" xfId="1397" xr:uid="{00000000-0005-0000-0000-000074050000}"/>
    <cellStyle name="Обычный 37 2 2" xfId="1398" xr:uid="{00000000-0005-0000-0000-000075050000}"/>
    <cellStyle name="Обычный 37 2 2 2" xfId="1399" xr:uid="{00000000-0005-0000-0000-000076050000}"/>
    <cellStyle name="Обычный 37 2 3" xfId="1400" xr:uid="{00000000-0005-0000-0000-000077050000}"/>
    <cellStyle name="Обычный 37 2 3 2" xfId="1401" xr:uid="{00000000-0005-0000-0000-000078050000}"/>
    <cellStyle name="Обычный 37 2 4" xfId="1402" xr:uid="{00000000-0005-0000-0000-000079050000}"/>
    <cellStyle name="Обычный 37 2 5" xfId="1403" xr:uid="{00000000-0005-0000-0000-00007A050000}"/>
    <cellStyle name="Обычный 37 2 6" xfId="1404" xr:uid="{00000000-0005-0000-0000-00007B050000}"/>
    <cellStyle name="Обычный 37 2 7" xfId="1405" xr:uid="{00000000-0005-0000-0000-00007C050000}"/>
    <cellStyle name="Обычный 37 20" xfId="1406" xr:uid="{00000000-0005-0000-0000-00007D050000}"/>
    <cellStyle name="Обычный 37 3" xfId="1407" xr:uid="{00000000-0005-0000-0000-00007E050000}"/>
    <cellStyle name="Обычный 37 3 2" xfId="1408" xr:uid="{00000000-0005-0000-0000-00007F050000}"/>
    <cellStyle name="Обычный 37 3 3" xfId="1409" xr:uid="{00000000-0005-0000-0000-000080050000}"/>
    <cellStyle name="Обычный 37 3 4" xfId="1410" xr:uid="{00000000-0005-0000-0000-000081050000}"/>
    <cellStyle name="Обычный 37 4" xfId="1411" xr:uid="{00000000-0005-0000-0000-000082050000}"/>
    <cellStyle name="Обычный 37 4 2" xfId="1412" xr:uid="{00000000-0005-0000-0000-000083050000}"/>
    <cellStyle name="Обычный 37 4 3" xfId="1413" xr:uid="{00000000-0005-0000-0000-000084050000}"/>
    <cellStyle name="Обычный 37 5" xfId="1414" xr:uid="{00000000-0005-0000-0000-000085050000}"/>
    <cellStyle name="Обычный 37 5 2" xfId="1415" xr:uid="{00000000-0005-0000-0000-000086050000}"/>
    <cellStyle name="Обычный 37 5 3" xfId="1416" xr:uid="{00000000-0005-0000-0000-000087050000}"/>
    <cellStyle name="Обычный 37 6" xfId="1417" xr:uid="{00000000-0005-0000-0000-000088050000}"/>
    <cellStyle name="Обычный 37 6 2" xfId="1418" xr:uid="{00000000-0005-0000-0000-000089050000}"/>
    <cellStyle name="Обычный 37 6 3" xfId="1419" xr:uid="{00000000-0005-0000-0000-00008A050000}"/>
    <cellStyle name="Обычный 37 7" xfId="1420" xr:uid="{00000000-0005-0000-0000-00008B050000}"/>
    <cellStyle name="Обычный 37 7 2" xfId="1421" xr:uid="{00000000-0005-0000-0000-00008C050000}"/>
    <cellStyle name="Обычный 37 7 3" xfId="1422" xr:uid="{00000000-0005-0000-0000-00008D050000}"/>
    <cellStyle name="Обычный 37 8" xfId="1423" xr:uid="{00000000-0005-0000-0000-00008E050000}"/>
    <cellStyle name="Обычный 37 8 2" xfId="1424" xr:uid="{00000000-0005-0000-0000-00008F050000}"/>
    <cellStyle name="Обычный 37 8 3" xfId="1425" xr:uid="{00000000-0005-0000-0000-000090050000}"/>
    <cellStyle name="Обычный 37 9" xfId="1426" xr:uid="{00000000-0005-0000-0000-000091050000}"/>
    <cellStyle name="Обычный 37 9 2" xfId="1427" xr:uid="{00000000-0005-0000-0000-000092050000}"/>
    <cellStyle name="Обычный 37 9 3" xfId="1428" xr:uid="{00000000-0005-0000-0000-000093050000}"/>
    <cellStyle name="Обычный 38" xfId="1429" xr:uid="{00000000-0005-0000-0000-000094050000}"/>
    <cellStyle name="Обычный 38 2" xfId="1430" xr:uid="{00000000-0005-0000-0000-000095050000}"/>
    <cellStyle name="Обычный 39" xfId="1431" xr:uid="{00000000-0005-0000-0000-000096050000}"/>
    <cellStyle name="Обычный 39 10" xfId="1432" xr:uid="{00000000-0005-0000-0000-000097050000}"/>
    <cellStyle name="Обычный 39 10 2" xfId="1433" xr:uid="{00000000-0005-0000-0000-000098050000}"/>
    <cellStyle name="Обычный 39 10 3" xfId="1434" xr:uid="{00000000-0005-0000-0000-000099050000}"/>
    <cellStyle name="Обычный 39 11" xfId="1435" xr:uid="{00000000-0005-0000-0000-00009A050000}"/>
    <cellStyle name="Обычный 39 11 2" xfId="1436" xr:uid="{00000000-0005-0000-0000-00009B050000}"/>
    <cellStyle name="Обычный 39 11 3" xfId="1437" xr:uid="{00000000-0005-0000-0000-00009C050000}"/>
    <cellStyle name="Обычный 39 12" xfId="1438" xr:uid="{00000000-0005-0000-0000-00009D050000}"/>
    <cellStyle name="Обычный 39 12 2" xfId="1439" xr:uid="{00000000-0005-0000-0000-00009E050000}"/>
    <cellStyle name="Обычный 39 12 3" xfId="1440" xr:uid="{00000000-0005-0000-0000-00009F050000}"/>
    <cellStyle name="Обычный 39 13" xfId="1441" xr:uid="{00000000-0005-0000-0000-0000A0050000}"/>
    <cellStyle name="Обычный 39 13 2" xfId="1442" xr:uid="{00000000-0005-0000-0000-0000A1050000}"/>
    <cellStyle name="Обычный 39 13 3" xfId="1443" xr:uid="{00000000-0005-0000-0000-0000A2050000}"/>
    <cellStyle name="Обычный 39 14" xfId="1444" xr:uid="{00000000-0005-0000-0000-0000A3050000}"/>
    <cellStyle name="Обычный 39 14 2" xfId="1445" xr:uid="{00000000-0005-0000-0000-0000A4050000}"/>
    <cellStyle name="Обычный 39 14 3" xfId="1446" xr:uid="{00000000-0005-0000-0000-0000A5050000}"/>
    <cellStyle name="Обычный 39 15" xfId="1447" xr:uid="{00000000-0005-0000-0000-0000A6050000}"/>
    <cellStyle name="Обычный 39 15 2" xfId="1448" xr:uid="{00000000-0005-0000-0000-0000A7050000}"/>
    <cellStyle name="Обычный 39 15 3" xfId="1449" xr:uid="{00000000-0005-0000-0000-0000A8050000}"/>
    <cellStyle name="Обычный 39 16" xfId="1450" xr:uid="{00000000-0005-0000-0000-0000A9050000}"/>
    <cellStyle name="Обычный 39 16 2" xfId="1451" xr:uid="{00000000-0005-0000-0000-0000AA050000}"/>
    <cellStyle name="Обычный 39 16 3" xfId="1452" xr:uid="{00000000-0005-0000-0000-0000AB050000}"/>
    <cellStyle name="Обычный 39 17" xfId="1453" xr:uid="{00000000-0005-0000-0000-0000AC050000}"/>
    <cellStyle name="Обычный 39 17 2" xfId="1454" xr:uid="{00000000-0005-0000-0000-0000AD050000}"/>
    <cellStyle name="Обычный 39 17 3" xfId="1455" xr:uid="{00000000-0005-0000-0000-0000AE050000}"/>
    <cellStyle name="Обычный 39 18" xfId="1456" xr:uid="{00000000-0005-0000-0000-0000AF050000}"/>
    <cellStyle name="Обычный 39 18 2" xfId="1457" xr:uid="{00000000-0005-0000-0000-0000B0050000}"/>
    <cellStyle name="Обычный 39 19" xfId="1458" xr:uid="{00000000-0005-0000-0000-0000B1050000}"/>
    <cellStyle name="Обычный 39 2" xfId="1459" xr:uid="{00000000-0005-0000-0000-0000B2050000}"/>
    <cellStyle name="Обычный 39 2 2" xfId="1460" xr:uid="{00000000-0005-0000-0000-0000B3050000}"/>
    <cellStyle name="Обычный 39 2 3" xfId="1461" xr:uid="{00000000-0005-0000-0000-0000B4050000}"/>
    <cellStyle name="Обычный 39 3" xfId="1462" xr:uid="{00000000-0005-0000-0000-0000B5050000}"/>
    <cellStyle name="Обычный 39 3 2" xfId="1463" xr:uid="{00000000-0005-0000-0000-0000B6050000}"/>
    <cellStyle name="Обычный 39 3 3" xfId="1464" xr:uid="{00000000-0005-0000-0000-0000B7050000}"/>
    <cellStyle name="Обычный 39 4" xfId="1465" xr:uid="{00000000-0005-0000-0000-0000B8050000}"/>
    <cellStyle name="Обычный 39 4 2" xfId="1466" xr:uid="{00000000-0005-0000-0000-0000B9050000}"/>
    <cellStyle name="Обычный 39 4 3" xfId="1467" xr:uid="{00000000-0005-0000-0000-0000BA050000}"/>
    <cellStyle name="Обычный 39 5" xfId="1468" xr:uid="{00000000-0005-0000-0000-0000BB050000}"/>
    <cellStyle name="Обычный 39 5 2" xfId="1469" xr:uid="{00000000-0005-0000-0000-0000BC050000}"/>
    <cellStyle name="Обычный 39 5 3" xfId="1470" xr:uid="{00000000-0005-0000-0000-0000BD050000}"/>
    <cellStyle name="Обычный 39 6" xfId="1471" xr:uid="{00000000-0005-0000-0000-0000BE050000}"/>
    <cellStyle name="Обычный 39 6 2" xfId="1472" xr:uid="{00000000-0005-0000-0000-0000BF050000}"/>
    <cellStyle name="Обычный 39 6 3" xfId="1473" xr:uid="{00000000-0005-0000-0000-0000C0050000}"/>
    <cellStyle name="Обычный 39 7" xfId="1474" xr:uid="{00000000-0005-0000-0000-0000C1050000}"/>
    <cellStyle name="Обычный 39 7 2" xfId="1475" xr:uid="{00000000-0005-0000-0000-0000C2050000}"/>
    <cellStyle name="Обычный 39 7 3" xfId="1476" xr:uid="{00000000-0005-0000-0000-0000C3050000}"/>
    <cellStyle name="Обычный 39 8" xfId="1477" xr:uid="{00000000-0005-0000-0000-0000C4050000}"/>
    <cellStyle name="Обычный 39 8 2" xfId="1478" xr:uid="{00000000-0005-0000-0000-0000C5050000}"/>
    <cellStyle name="Обычный 39 8 3" xfId="1479" xr:uid="{00000000-0005-0000-0000-0000C6050000}"/>
    <cellStyle name="Обычный 39 9" xfId="1480" xr:uid="{00000000-0005-0000-0000-0000C7050000}"/>
    <cellStyle name="Обычный 39 9 2" xfId="1481" xr:uid="{00000000-0005-0000-0000-0000C8050000}"/>
    <cellStyle name="Обычный 39 9 3" xfId="1482" xr:uid="{00000000-0005-0000-0000-0000C9050000}"/>
    <cellStyle name="Обычный 4" xfId="1483" xr:uid="{00000000-0005-0000-0000-0000CA050000}"/>
    <cellStyle name="Обычный 4 10" xfId="1484" xr:uid="{00000000-0005-0000-0000-0000CB050000}"/>
    <cellStyle name="Обычный 4 10 2" xfId="1485" xr:uid="{00000000-0005-0000-0000-0000CC050000}"/>
    <cellStyle name="Обычный 4 10 3" xfId="1486" xr:uid="{00000000-0005-0000-0000-0000CD050000}"/>
    <cellStyle name="Обычный 4 11" xfId="1487" xr:uid="{00000000-0005-0000-0000-0000CE050000}"/>
    <cellStyle name="Обычный 4 11 2" xfId="1488" xr:uid="{00000000-0005-0000-0000-0000CF050000}"/>
    <cellStyle name="Обычный 4 11 3" xfId="1489" xr:uid="{00000000-0005-0000-0000-0000D0050000}"/>
    <cellStyle name="Обычный 4 12" xfId="1490" xr:uid="{00000000-0005-0000-0000-0000D1050000}"/>
    <cellStyle name="Обычный 4 12 2" xfId="1491" xr:uid="{00000000-0005-0000-0000-0000D2050000}"/>
    <cellStyle name="Обычный 4 12 3" xfId="1492" xr:uid="{00000000-0005-0000-0000-0000D3050000}"/>
    <cellStyle name="Обычный 4 13" xfId="1493" xr:uid="{00000000-0005-0000-0000-0000D4050000}"/>
    <cellStyle name="Обычный 4 13 2" xfId="1494" xr:uid="{00000000-0005-0000-0000-0000D5050000}"/>
    <cellStyle name="Обычный 4 13 3" xfId="1495" xr:uid="{00000000-0005-0000-0000-0000D6050000}"/>
    <cellStyle name="Обычный 4 14" xfId="1496" xr:uid="{00000000-0005-0000-0000-0000D7050000}"/>
    <cellStyle name="Обычный 4 14 2" xfId="1497" xr:uid="{00000000-0005-0000-0000-0000D8050000}"/>
    <cellStyle name="Обычный 4 14 3" xfId="1498" xr:uid="{00000000-0005-0000-0000-0000D9050000}"/>
    <cellStyle name="Обычный 4 15" xfId="1499" xr:uid="{00000000-0005-0000-0000-0000DA050000}"/>
    <cellStyle name="Обычный 4 15 2" xfId="1500" xr:uid="{00000000-0005-0000-0000-0000DB050000}"/>
    <cellStyle name="Обычный 4 15 3" xfId="1501" xr:uid="{00000000-0005-0000-0000-0000DC050000}"/>
    <cellStyle name="Обычный 4 16" xfId="1502" xr:uid="{00000000-0005-0000-0000-0000DD050000}"/>
    <cellStyle name="Обычный 4 16 2" xfId="1503" xr:uid="{00000000-0005-0000-0000-0000DE050000}"/>
    <cellStyle name="Обычный 4 16 3" xfId="1504" xr:uid="{00000000-0005-0000-0000-0000DF050000}"/>
    <cellStyle name="Обычный 4 17" xfId="1505" xr:uid="{00000000-0005-0000-0000-0000E0050000}"/>
    <cellStyle name="Обычный 4 17 2" xfId="1506" xr:uid="{00000000-0005-0000-0000-0000E1050000}"/>
    <cellStyle name="Обычный 4 17 3" xfId="1507" xr:uid="{00000000-0005-0000-0000-0000E2050000}"/>
    <cellStyle name="Обычный 4 18" xfId="1508" xr:uid="{00000000-0005-0000-0000-0000E3050000}"/>
    <cellStyle name="Обычный 4 18 2" xfId="1509" xr:uid="{00000000-0005-0000-0000-0000E4050000}"/>
    <cellStyle name="Обычный 4 19" xfId="1510" xr:uid="{00000000-0005-0000-0000-0000E5050000}"/>
    <cellStyle name="Обычный 4 2" xfId="1511" xr:uid="{00000000-0005-0000-0000-0000E6050000}"/>
    <cellStyle name="Обычный 4 2 2" xfId="1512" xr:uid="{00000000-0005-0000-0000-0000E7050000}"/>
    <cellStyle name="Обычный 4 2 3" xfId="1513" xr:uid="{00000000-0005-0000-0000-0000E8050000}"/>
    <cellStyle name="Обычный 4 2 4" xfId="1514" xr:uid="{00000000-0005-0000-0000-0000E9050000}"/>
    <cellStyle name="Обычный 4 20" xfId="1515" xr:uid="{00000000-0005-0000-0000-0000EA050000}"/>
    <cellStyle name="Обычный 4 3" xfId="1516" xr:uid="{00000000-0005-0000-0000-0000EB050000}"/>
    <cellStyle name="Обычный 4 3 2" xfId="1517" xr:uid="{00000000-0005-0000-0000-0000EC050000}"/>
    <cellStyle name="Обычный 4 3 3" xfId="1518" xr:uid="{00000000-0005-0000-0000-0000ED050000}"/>
    <cellStyle name="Обычный 4 4" xfId="1519" xr:uid="{00000000-0005-0000-0000-0000EE050000}"/>
    <cellStyle name="Обычный 4 4 2" xfId="1520" xr:uid="{00000000-0005-0000-0000-0000EF050000}"/>
    <cellStyle name="Обычный 4 4 3" xfId="1521" xr:uid="{00000000-0005-0000-0000-0000F0050000}"/>
    <cellStyle name="Обычный 4 5" xfId="1522" xr:uid="{00000000-0005-0000-0000-0000F1050000}"/>
    <cellStyle name="Обычный 4 5 2" xfId="1523" xr:uid="{00000000-0005-0000-0000-0000F2050000}"/>
    <cellStyle name="Обычный 4 5 3" xfId="1524" xr:uid="{00000000-0005-0000-0000-0000F3050000}"/>
    <cellStyle name="Обычный 4 6" xfId="1525" xr:uid="{00000000-0005-0000-0000-0000F4050000}"/>
    <cellStyle name="Обычный 4 6 2" xfId="1526" xr:uid="{00000000-0005-0000-0000-0000F5050000}"/>
    <cellStyle name="Обычный 4 6 3" xfId="1527" xr:uid="{00000000-0005-0000-0000-0000F6050000}"/>
    <cellStyle name="Обычный 4 7" xfId="1528" xr:uid="{00000000-0005-0000-0000-0000F7050000}"/>
    <cellStyle name="Обычный 4 7 2" xfId="1529" xr:uid="{00000000-0005-0000-0000-0000F8050000}"/>
    <cellStyle name="Обычный 4 7 3" xfId="1530" xr:uid="{00000000-0005-0000-0000-0000F9050000}"/>
    <cellStyle name="Обычный 4 8" xfId="1531" xr:uid="{00000000-0005-0000-0000-0000FA050000}"/>
    <cellStyle name="Обычный 4 8 2" xfId="1532" xr:uid="{00000000-0005-0000-0000-0000FB050000}"/>
    <cellStyle name="Обычный 4 8 3" xfId="1533" xr:uid="{00000000-0005-0000-0000-0000FC050000}"/>
    <cellStyle name="Обычный 4 9" xfId="1534" xr:uid="{00000000-0005-0000-0000-0000FD050000}"/>
    <cellStyle name="Обычный 4 9 2" xfId="1535" xr:uid="{00000000-0005-0000-0000-0000FE050000}"/>
    <cellStyle name="Обычный 4 9 3" xfId="1536" xr:uid="{00000000-0005-0000-0000-0000FF050000}"/>
    <cellStyle name="Обычный 40" xfId="1537" xr:uid="{00000000-0005-0000-0000-000000060000}"/>
    <cellStyle name="Обычный 40 2" xfId="1538" xr:uid="{00000000-0005-0000-0000-000001060000}"/>
    <cellStyle name="Обычный 41" xfId="1539" xr:uid="{00000000-0005-0000-0000-000002060000}"/>
    <cellStyle name="Обычный 41 10" xfId="1540" xr:uid="{00000000-0005-0000-0000-000003060000}"/>
    <cellStyle name="Обычный 41 10 2" xfId="1541" xr:uid="{00000000-0005-0000-0000-000004060000}"/>
    <cellStyle name="Обычный 41 10 3" xfId="1542" xr:uid="{00000000-0005-0000-0000-000005060000}"/>
    <cellStyle name="Обычный 41 11" xfId="1543" xr:uid="{00000000-0005-0000-0000-000006060000}"/>
    <cellStyle name="Обычный 41 11 2" xfId="1544" xr:uid="{00000000-0005-0000-0000-000007060000}"/>
    <cellStyle name="Обычный 41 11 3" xfId="1545" xr:uid="{00000000-0005-0000-0000-000008060000}"/>
    <cellStyle name="Обычный 41 12" xfId="1546" xr:uid="{00000000-0005-0000-0000-000009060000}"/>
    <cellStyle name="Обычный 41 12 2" xfId="1547" xr:uid="{00000000-0005-0000-0000-00000A060000}"/>
    <cellStyle name="Обычный 41 12 3" xfId="1548" xr:uid="{00000000-0005-0000-0000-00000B060000}"/>
    <cellStyle name="Обычный 41 13" xfId="1549" xr:uid="{00000000-0005-0000-0000-00000C060000}"/>
    <cellStyle name="Обычный 41 13 2" xfId="1550" xr:uid="{00000000-0005-0000-0000-00000D060000}"/>
    <cellStyle name="Обычный 41 13 3" xfId="1551" xr:uid="{00000000-0005-0000-0000-00000E060000}"/>
    <cellStyle name="Обычный 41 14" xfId="1552" xr:uid="{00000000-0005-0000-0000-00000F060000}"/>
    <cellStyle name="Обычный 41 14 2" xfId="1553" xr:uid="{00000000-0005-0000-0000-000010060000}"/>
    <cellStyle name="Обычный 41 14 3" xfId="1554" xr:uid="{00000000-0005-0000-0000-000011060000}"/>
    <cellStyle name="Обычный 41 15" xfId="1555" xr:uid="{00000000-0005-0000-0000-000012060000}"/>
    <cellStyle name="Обычный 41 15 2" xfId="1556" xr:uid="{00000000-0005-0000-0000-000013060000}"/>
    <cellStyle name="Обычный 41 15 3" xfId="1557" xr:uid="{00000000-0005-0000-0000-000014060000}"/>
    <cellStyle name="Обычный 41 16" xfId="1558" xr:uid="{00000000-0005-0000-0000-000015060000}"/>
    <cellStyle name="Обычный 41 16 2" xfId="1559" xr:uid="{00000000-0005-0000-0000-000016060000}"/>
    <cellStyle name="Обычный 41 16 3" xfId="1560" xr:uid="{00000000-0005-0000-0000-000017060000}"/>
    <cellStyle name="Обычный 41 17" xfId="1561" xr:uid="{00000000-0005-0000-0000-000018060000}"/>
    <cellStyle name="Обычный 41 17 2" xfId="1562" xr:uid="{00000000-0005-0000-0000-000019060000}"/>
    <cellStyle name="Обычный 41 17 3" xfId="1563" xr:uid="{00000000-0005-0000-0000-00001A060000}"/>
    <cellStyle name="Обычный 41 18" xfId="1564" xr:uid="{00000000-0005-0000-0000-00001B060000}"/>
    <cellStyle name="Обычный 41 18 2" xfId="1565" xr:uid="{00000000-0005-0000-0000-00001C060000}"/>
    <cellStyle name="Обычный 41 19" xfId="1566" xr:uid="{00000000-0005-0000-0000-00001D060000}"/>
    <cellStyle name="Обычный 41 2" xfId="1567" xr:uid="{00000000-0005-0000-0000-00001E060000}"/>
    <cellStyle name="Обычный 41 2 2" xfId="1568" xr:uid="{00000000-0005-0000-0000-00001F060000}"/>
    <cellStyle name="Обычный 41 2 2 2" xfId="1569" xr:uid="{00000000-0005-0000-0000-000020060000}"/>
    <cellStyle name="Обычный 41 2 3" xfId="1570" xr:uid="{00000000-0005-0000-0000-000021060000}"/>
    <cellStyle name="Обычный 41 2 3 2" xfId="1571" xr:uid="{00000000-0005-0000-0000-000022060000}"/>
    <cellStyle name="Обычный 41 2 4" xfId="1572" xr:uid="{00000000-0005-0000-0000-000023060000}"/>
    <cellStyle name="Обычный 41 2 5" xfId="1573" xr:uid="{00000000-0005-0000-0000-000024060000}"/>
    <cellStyle name="Обычный 41 2 6" xfId="1574" xr:uid="{00000000-0005-0000-0000-000025060000}"/>
    <cellStyle name="Обычный 41 2 7" xfId="1575" xr:uid="{00000000-0005-0000-0000-000026060000}"/>
    <cellStyle name="Обычный 41 20" xfId="1576" xr:uid="{00000000-0005-0000-0000-000027060000}"/>
    <cellStyle name="Обычный 41 3" xfId="1577" xr:uid="{00000000-0005-0000-0000-000028060000}"/>
    <cellStyle name="Обычный 41 3 2" xfId="1578" xr:uid="{00000000-0005-0000-0000-000029060000}"/>
    <cellStyle name="Обычный 41 3 3" xfId="1579" xr:uid="{00000000-0005-0000-0000-00002A060000}"/>
    <cellStyle name="Обычный 41 3 4" xfId="1580" xr:uid="{00000000-0005-0000-0000-00002B060000}"/>
    <cellStyle name="Обычный 41 4" xfId="1581" xr:uid="{00000000-0005-0000-0000-00002C060000}"/>
    <cellStyle name="Обычный 41 4 2" xfId="1582" xr:uid="{00000000-0005-0000-0000-00002D060000}"/>
    <cellStyle name="Обычный 41 4 3" xfId="1583" xr:uid="{00000000-0005-0000-0000-00002E060000}"/>
    <cellStyle name="Обычный 41 5" xfId="1584" xr:uid="{00000000-0005-0000-0000-00002F060000}"/>
    <cellStyle name="Обычный 41 5 2" xfId="1585" xr:uid="{00000000-0005-0000-0000-000030060000}"/>
    <cellStyle name="Обычный 41 5 3" xfId="1586" xr:uid="{00000000-0005-0000-0000-000031060000}"/>
    <cellStyle name="Обычный 41 6" xfId="1587" xr:uid="{00000000-0005-0000-0000-000032060000}"/>
    <cellStyle name="Обычный 41 6 2" xfId="1588" xr:uid="{00000000-0005-0000-0000-000033060000}"/>
    <cellStyle name="Обычный 41 6 3" xfId="1589" xr:uid="{00000000-0005-0000-0000-000034060000}"/>
    <cellStyle name="Обычный 41 7" xfId="1590" xr:uid="{00000000-0005-0000-0000-000035060000}"/>
    <cellStyle name="Обычный 41 7 2" xfId="1591" xr:uid="{00000000-0005-0000-0000-000036060000}"/>
    <cellStyle name="Обычный 41 7 3" xfId="1592" xr:uid="{00000000-0005-0000-0000-000037060000}"/>
    <cellStyle name="Обычный 41 8" xfId="1593" xr:uid="{00000000-0005-0000-0000-000038060000}"/>
    <cellStyle name="Обычный 41 8 2" xfId="1594" xr:uid="{00000000-0005-0000-0000-000039060000}"/>
    <cellStyle name="Обычный 41 8 3" xfId="1595" xr:uid="{00000000-0005-0000-0000-00003A060000}"/>
    <cellStyle name="Обычный 41 9" xfId="1596" xr:uid="{00000000-0005-0000-0000-00003B060000}"/>
    <cellStyle name="Обычный 41 9 2" xfId="1597" xr:uid="{00000000-0005-0000-0000-00003C060000}"/>
    <cellStyle name="Обычный 41 9 3" xfId="1598" xr:uid="{00000000-0005-0000-0000-00003D060000}"/>
    <cellStyle name="Обычный 42" xfId="1599" xr:uid="{00000000-0005-0000-0000-00003E060000}"/>
    <cellStyle name="Обычный 42 2" xfId="1600" xr:uid="{00000000-0005-0000-0000-00003F060000}"/>
    <cellStyle name="Обычный 43" xfId="1601" xr:uid="{00000000-0005-0000-0000-000040060000}"/>
    <cellStyle name="Обычный 43 10" xfId="1602" xr:uid="{00000000-0005-0000-0000-000041060000}"/>
    <cellStyle name="Обычный 43 10 2" xfId="1603" xr:uid="{00000000-0005-0000-0000-000042060000}"/>
    <cellStyle name="Обычный 43 10 3" xfId="1604" xr:uid="{00000000-0005-0000-0000-000043060000}"/>
    <cellStyle name="Обычный 43 11" xfId="1605" xr:uid="{00000000-0005-0000-0000-000044060000}"/>
    <cellStyle name="Обычный 43 11 2" xfId="1606" xr:uid="{00000000-0005-0000-0000-000045060000}"/>
    <cellStyle name="Обычный 43 11 3" xfId="1607" xr:uid="{00000000-0005-0000-0000-000046060000}"/>
    <cellStyle name="Обычный 43 12" xfId="1608" xr:uid="{00000000-0005-0000-0000-000047060000}"/>
    <cellStyle name="Обычный 43 12 2" xfId="1609" xr:uid="{00000000-0005-0000-0000-000048060000}"/>
    <cellStyle name="Обычный 43 12 3" xfId="1610" xr:uid="{00000000-0005-0000-0000-000049060000}"/>
    <cellStyle name="Обычный 43 13" xfId="1611" xr:uid="{00000000-0005-0000-0000-00004A060000}"/>
    <cellStyle name="Обычный 43 13 2" xfId="1612" xr:uid="{00000000-0005-0000-0000-00004B060000}"/>
    <cellStyle name="Обычный 43 13 3" xfId="1613" xr:uid="{00000000-0005-0000-0000-00004C060000}"/>
    <cellStyle name="Обычный 43 14" xfId="1614" xr:uid="{00000000-0005-0000-0000-00004D060000}"/>
    <cellStyle name="Обычный 43 14 2" xfId="1615" xr:uid="{00000000-0005-0000-0000-00004E060000}"/>
    <cellStyle name="Обычный 43 14 3" xfId="1616" xr:uid="{00000000-0005-0000-0000-00004F060000}"/>
    <cellStyle name="Обычный 43 15" xfId="1617" xr:uid="{00000000-0005-0000-0000-000050060000}"/>
    <cellStyle name="Обычный 43 15 2" xfId="1618" xr:uid="{00000000-0005-0000-0000-000051060000}"/>
    <cellStyle name="Обычный 43 15 3" xfId="1619" xr:uid="{00000000-0005-0000-0000-000052060000}"/>
    <cellStyle name="Обычный 43 16" xfId="1620" xr:uid="{00000000-0005-0000-0000-000053060000}"/>
    <cellStyle name="Обычный 43 16 2" xfId="1621" xr:uid="{00000000-0005-0000-0000-000054060000}"/>
    <cellStyle name="Обычный 43 16 3" xfId="1622" xr:uid="{00000000-0005-0000-0000-000055060000}"/>
    <cellStyle name="Обычный 43 17" xfId="1623" xr:uid="{00000000-0005-0000-0000-000056060000}"/>
    <cellStyle name="Обычный 43 17 2" xfId="1624" xr:uid="{00000000-0005-0000-0000-000057060000}"/>
    <cellStyle name="Обычный 43 17 3" xfId="1625" xr:uid="{00000000-0005-0000-0000-000058060000}"/>
    <cellStyle name="Обычный 43 18" xfId="1626" xr:uid="{00000000-0005-0000-0000-000059060000}"/>
    <cellStyle name="Обычный 43 18 2" xfId="1627" xr:uid="{00000000-0005-0000-0000-00005A060000}"/>
    <cellStyle name="Обычный 43 19" xfId="1628" xr:uid="{00000000-0005-0000-0000-00005B060000}"/>
    <cellStyle name="Обычный 43 2" xfId="1629" xr:uid="{00000000-0005-0000-0000-00005C060000}"/>
    <cellStyle name="Обычный 43 2 2" xfId="1630" xr:uid="{00000000-0005-0000-0000-00005D060000}"/>
    <cellStyle name="Обычный 43 2 3" xfId="1631" xr:uid="{00000000-0005-0000-0000-00005E060000}"/>
    <cellStyle name="Обычный 43 3" xfId="1632" xr:uid="{00000000-0005-0000-0000-00005F060000}"/>
    <cellStyle name="Обычный 43 3 2" xfId="1633" xr:uid="{00000000-0005-0000-0000-000060060000}"/>
    <cellStyle name="Обычный 43 3 3" xfId="1634" xr:uid="{00000000-0005-0000-0000-000061060000}"/>
    <cellStyle name="Обычный 43 4" xfId="1635" xr:uid="{00000000-0005-0000-0000-000062060000}"/>
    <cellStyle name="Обычный 43 4 2" xfId="1636" xr:uid="{00000000-0005-0000-0000-000063060000}"/>
    <cellStyle name="Обычный 43 4 3" xfId="1637" xr:uid="{00000000-0005-0000-0000-000064060000}"/>
    <cellStyle name="Обычный 43 5" xfId="1638" xr:uid="{00000000-0005-0000-0000-000065060000}"/>
    <cellStyle name="Обычный 43 5 2" xfId="1639" xr:uid="{00000000-0005-0000-0000-000066060000}"/>
    <cellStyle name="Обычный 43 5 3" xfId="1640" xr:uid="{00000000-0005-0000-0000-000067060000}"/>
    <cellStyle name="Обычный 43 6" xfId="1641" xr:uid="{00000000-0005-0000-0000-000068060000}"/>
    <cellStyle name="Обычный 43 6 2" xfId="1642" xr:uid="{00000000-0005-0000-0000-000069060000}"/>
    <cellStyle name="Обычный 43 6 3" xfId="1643" xr:uid="{00000000-0005-0000-0000-00006A060000}"/>
    <cellStyle name="Обычный 43 7" xfId="1644" xr:uid="{00000000-0005-0000-0000-00006B060000}"/>
    <cellStyle name="Обычный 43 7 2" xfId="1645" xr:uid="{00000000-0005-0000-0000-00006C060000}"/>
    <cellStyle name="Обычный 43 7 3" xfId="1646" xr:uid="{00000000-0005-0000-0000-00006D060000}"/>
    <cellStyle name="Обычный 43 8" xfId="1647" xr:uid="{00000000-0005-0000-0000-00006E060000}"/>
    <cellStyle name="Обычный 43 8 2" xfId="1648" xr:uid="{00000000-0005-0000-0000-00006F060000}"/>
    <cellStyle name="Обычный 43 8 3" xfId="1649" xr:uid="{00000000-0005-0000-0000-000070060000}"/>
    <cellStyle name="Обычный 43 9" xfId="1650" xr:uid="{00000000-0005-0000-0000-000071060000}"/>
    <cellStyle name="Обычный 43 9 2" xfId="1651" xr:uid="{00000000-0005-0000-0000-000072060000}"/>
    <cellStyle name="Обычный 43 9 3" xfId="1652" xr:uid="{00000000-0005-0000-0000-000073060000}"/>
    <cellStyle name="Обычный 44" xfId="1653" xr:uid="{00000000-0005-0000-0000-000074060000}"/>
    <cellStyle name="Обычный 44 2" xfId="1654" xr:uid="{00000000-0005-0000-0000-000075060000}"/>
    <cellStyle name="Обычный 44 2 2" xfId="1655" xr:uid="{00000000-0005-0000-0000-000076060000}"/>
    <cellStyle name="Обычный 44 3" xfId="1656" xr:uid="{00000000-0005-0000-0000-000077060000}"/>
    <cellStyle name="Обычный 45" xfId="1657" xr:uid="{00000000-0005-0000-0000-000078060000}"/>
    <cellStyle name="Обычный 45 2" xfId="1658" xr:uid="{00000000-0005-0000-0000-000079060000}"/>
    <cellStyle name="Обычный 46" xfId="1659" xr:uid="{00000000-0005-0000-0000-00007A060000}"/>
    <cellStyle name="Обычный 46 2" xfId="1660" xr:uid="{00000000-0005-0000-0000-00007B060000}"/>
    <cellStyle name="Обычный 47" xfId="1661" xr:uid="{00000000-0005-0000-0000-00007C060000}"/>
    <cellStyle name="Обычный 47 2" xfId="1662" xr:uid="{00000000-0005-0000-0000-00007D060000}"/>
    <cellStyle name="Обычный 48" xfId="1663" xr:uid="{00000000-0005-0000-0000-00007E060000}"/>
    <cellStyle name="Обычный 48 2" xfId="1664" xr:uid="{00000000-0005-0000-0000-00007F060000}"/>
    <cellStyle name="Обычный 49" xfId="1665" xr:uid="{00000000-0005-0000-0000-000080060000}"/>
    <cellStyle name="Обычный 49 2" xfId="1666" xr:uid="{00000000-0005-0000-0000-000081060000}"/>
    <cellStyle name="Обычный 5" xfId="1667" xr:uid="{00000000-0005-0000-0000-000082060000}"/>
    <cellStyle name="Обычный 5 2" xfId="1668" xr:uid="{00000000-0005-0000-0000-000083060000}"/>
    <cellStyle name="Обычный 5 2 2" xfId="1669" xr:uid="{00000000-0005-0000-0000-000084060000}"/>
    <cellStyle name="Обычный 5 3" xfId="1670" xr:uid="{00000000-0005-0000-0000-000085060000}"/>
    <cellStyle name="Обычный 50" xfId="1671" xr:uid="{00000000-0005-0000-0000-000086060000}"/>
    <cellStyle name="Обычный 50 2" xfId="1672" xr:uid="{00000000-0005-0000-0000-000087060000}"/>
    <cellStyle name="Обычный 51" xfId="1673" xr:uid="{00000000-0005-0000-0000-000088060000}"/>
    <cellStyle name="Обычный 51 2" xfId="1674" xr:uid="{00000000-0005-0000-0000-000089060000}"/>
    <cellStyle name="Обычный 52" xfId="1675" xr:uid="{00000000-0005-0000-0000-00008A060000}"/>
    <cellStyle name="Обычный 52 2" xfId="1676" xr:uid="{00000000-0005-0000-0000-00008B060000}"/>
    <cellStyle name="Обычный 53" xfId="1677" xr:uid="{00000000-0005-0000-0000-00008C060000}"/>
    <cellStyle name="Обычный 53 2" xfId="1678" xr:uid="{00000000-0005-0000-0000-00008D060000}"/>
    <cellStyle name="Обычный 54" xfId="1679" xr:uid="{00000000-0005-0000-0000-00008E060000}"/>
    <cellStyle name="Обычный 54 2" xfId="1680" xr:uid="{00000000-0005-0000-0000-00008F060000}"/>
    <cellStyle name="Обычный 55" xfId="1681" xr:uid="{00000000-0005-0000-0000-000090060000}"/>
    <cellStyle name="Обычный 56" xfId="1682" xr:uid="{00000000-0005-0000-0000-000091060000}"/>
    <cellStyle name="Обычный 57" xfId="1683" xr:uid="{00000000-0005-0000-0000-000092060000}"/>
    <cellStyle name="Обычный 58" xfId="1684" xr:uid="{00000000-0005-0000-0000-000093060000}"/>
    <cellStyle name="Обычный 59" xfId="1685" xr:uid="{00000000-0005-0000-0000-000094060000}"/>
    <cellStyle name="Обычный 6" xfId="1686" xr:uid="{00000000-0005-0000-0000-000095060000}"/>
    <cellStyle name="Обычный 6 10" xfId="1687" xr:uid="{00000000-0005-0000-0000-000096060000}"/>
    <cellStyle name="Обычный 6 10 2" xfId="1688" xr:uid="{00000000-0005-0000-0000-000097060000}"/>
    <cellStyle name="Обычный 6 10 3" xfId="1689" xr:uid="{00000000-0005-0000-0000-000098060000}"/>
    <cellStyle name="Обычный 6 11" xfId="1690" xr:uid="{00000000-0005-0000-0000-000099060000}"/>
    <cellStyle name="Обычный 6 11 2" xfId="1691" xr:uid="{00000000-0005-0000-0000-00009A060000}"/>
    <cellStyle name="Обычный 6 11 3" xfId="1692" xr:uid="{00000000-0005-0000-0000-00009B060000}"/>
    <cellStyle name="Обычный 6 12" xfId="1693" xr:uid="{00000000-0005-0000-0000-00009C060000}"/>
    <cellStyle name="Обычный 6 12 2" xfId="1694" xr:uid="{00000000-0005-0000-0000-00009D060000}"/>
    <cellStyle name="Обычный 6 12 3" xfId="1695" xr:uid="{00000000-0005-0000-0000-00009E060000}"/>
    <cellStyle name="Обычный 6 13" xfId="1696" xr:uid="{00000000-0005-0000-0000-00009F060000}"/>
    <cellStyle name="Обычный 6 13 2" xfId="1697" xr:uid="{00000000-0005-0000-0000-0000A0060000}"/>
    <cellStyle name="Обычный 6 13 3" xfId="1698" xr:uid="{00000000-0005-0000-0000-0000A1060000}"/>
    <cellStyle name="Обычный 6 14" xfId="1699" xr:uid="{00000000-0005-0000-0000-0000A2060000}"/>
    <cellStyle name="Обычный 6 14 2" xfId="1700" xr:uid="{00000000-0005-0000-0000-0000A3060000}"/>
    <cellStyle name="Обычный 6 14 3" xfId="1701" xr:uid="{00000000-0005-0000-0000-0000A4060000}"/>
    <cellStyle name="Обычный 6 15" xfId="1702" xr:uid="{00000000-0005-0000-0000-0000A5060000}"/>
    <cellStyle name="Обычный 6 15 2" xfId="1703" xr:uid="{00000000-0005-0000-0000-0000A6060000}"/>
    <cellStyle name="Обычный 6 15 3" xfId="1704" xr:uid="{00000000-0005-0000-0000-0000A7060000}"/>
    <cellStyle name="Обычный 6 16" xfId="1705" xr:uid="{00000000-0005-0000-0000-0000A8060000}"/>
    <cellStyle name="Обычный 6 16 2" xfId="1706" xr:uid="{00000000-0005-0000-0000-0000A9060000}"/>
    <cellStyle name="Обычный 6 16 3" xfId="1707" xr:uid="{00000000-0005-0000-0000-0000AA060000}"/>
    <cellStyle name="Обычный 6 17" xfId="1708" xr:uid="{00000000-0005-0000-0000-0000AB060000}"/>
    <cellStyle name="Обычный 6 17 2" xfId="1709" xr:uid="{00000000-0005-0000-0000-0000AC060000}"/>
    <cellStyle name="Обычный 6 17 3" xfId="1710" xr:uid="{00000000-0005-0000-0000-0000AD060000}"/>
    <cellStyle name="Обычный 6 18" xfId="1711" xr:uid="{00000000-0005-0000-0000-0000AE060000}"/>
    <cellStyle name="Обычный 6 18 2" xfId="1712" xr:uid="{00000000-0005-0000-0000-0000AF060000}"/>
    <cellStyle name="Обычный 6 19" xfId="1713" xr:uid="{00000000-0005-0000-0000-0000B0060000}"/>
    <cellStyle name="Обычный 6 2" xfId="1714" xr:uid="{00000000-0005-0000-0000-0000B1060000}"/>
    <cellStyle name="Обычный 6 2 2" xfId="1715" xr:uid="{00000000-0005-0000-0000-0000B2060000}"/>
    <cellStyle name="Обычный 6 2 3" xfId="1716" xr:uid="{00000000-0005-0000-0000-0000B3060000}"/>
    <cellStyle name="Обычный 6 2 4" xfId="1717" xr:uid="{00000000-0005-0000-0000-0000B4060000}"/>
    <cellStyle name="Обычный 6 20" xfId="1718" xr:uid="{00000000-0005-0000-0000-0000B5060000}"/>
    <cellStyle name="Обычный 6 3" xfId="1719" xr:uid="{00000000-0005-0000-0000-0000B6060000}"/>
    <cellStyle name="Обычный 6 3 2" xfId="1720" xr:uid="{00000000-0005-0000-0000-0000B7060000}"/>
    <cellStyle name="Обычный 6 3 3" xfId="1721" xr:uid="{00000000-0005-0000-0000-0000B8060000}"/>
    <cellStyle name="Обычный 6 4" xfId="1722" xr:uid="{00000000-0005-0000-0000-0000B9060000}"/>
    <cellStyle name="Обычный 6 4 2" xfId="1723" xr:uid="{00000000-0005-0000-0000-0000BA060000}"/>
    <cellStyle name="Обычный 6 4 3" xfId="1724" xr:uid="{00000000-0005-0000-0000-0000BB060000}"/>
    <cellStyle name="Обычный 6 5" xfId="1725" xr:uid="{00000000-0005-0000-0000-0000BC060000}"/>
    <cellStyle name="Обычный 6 5 2" xfId="1726" xr:uid="{00000000-0005-0000-0000-0000BD060000}"/>
    <cellStyle name="Обычный 6 5 3" xfId="1727" xr:uid="{00000000-0005-0000-0000-0000BE060000}"/>
    <cellStyle name="Обычный 6 6" xfId="1728" xr:uid="{00000000-0005-0000-0000-0000BF060000}"/>
    <cellStyle name="Обычный 6 6 2" xfId="1729" xr:uid="{00000000-0005-0000-0000-0000C0060000}"/>
    <cellStyle name="Обычный 6 6 3" xfId="1730" xr:uid="{00000000-0005-0000-0000-0000C1060000}"/>
    <cellStyle name="Обычный 6 7" xfId="1731" xr:uid="{00000000-0005-0000-0000-0000C2060000}"/>
    <cellStyle name="Обычный 6 7 2" xfId="1732" xr:uid="{00000000-0005-0000-0000-0000C3060000}"/>
    <cellStyle name="Обычный 6 7 3" xfId="1733" xr:uid="{00000000-0005-0000-0000-0000C4060000}"/>
    <cellStyle name="Обычный 6 8" xfId="1734" xr:uid="{00000000-0005-0000-0000-0000C5060000}"/>
    <cellStyle name="Обычный 6 8 2" xfId="1735" xr:uid="{00000000-0005-0000-0000-0000C6060000}"/>
    <cellStyle name="Обычный 6 8 3" xfId="1736" xr:uid="{00000000-0005-0000-0000-0000C7060000}"/>
    <cellStyle name="Обычный 6 9" xfId="1737" xr:uid="{00000000-0005-0000-0000-0000C8060000}"/>
    <cellStyle name="Обычный 6 9 2" xfId="1738" xr:uid="{00000000-0005-0000-0000-0000C9060000}"/>
    <cellStyle name="Обычный 6 9 3" xfId="1739" xr:uid="{00000000-0005-0000-0000-0000CA060000}"/>
    <cellStyle name="Обычный 60" xfId="1740" xr:uid="{00000000-0005-0000-0000-0000CB060000}"/>
    <cellStyle name="Обычный 61" xfId="1741" xr:uid="{00000000-0005-0000-0000-0000CC060000}"/>
    <cellStyle name="Обычный 62" xfId="1742" xr:uid="{00000000-0005-0000-0000-0000CD060000}"/>
    <cellStyle name="Обычный 63" xfId="1743" xr:uid="{00000000-0005-0000-0000-0000CE060000}"/>
    <cellStyle name="Обычный 63 2" xfId="1744" xr:uid="{00000000-0005-0000-0000-0000CF060000}"/>
    <cellStyle name="Обычный 63 3" xfId="1745" xr:uid="{00000000-0005-0000-0000-0000D0060000}"/>
    <cellStyle name="Обычный 64" xfId="1746" xr:uid="{00000000-0005-0000-0000-0000D1060000}"/>
    <cellStyle name="Обычный 64 2" xfId="1747" xr:uid="{00000000-0005-0000-0000-0000D2060000}"/>
    <cellStyle name="Обычный 64 3" xfId="1748" xr:uid="{00000000-0005-0000-0000-0000D3060000}"/>
    <cellStyle name="Обычный 65" xfId="1749" xr:uid="{00000000-0005-0000-0000-0000D4060000}"/>
    <cellStyle name="Обычный 65 2" xfId="1750" xr:uid="{00000000-0005-0000-0000-0000D5060000}"/>
    <cellStyle name="Обычный 65 3" xfId="1751" xr:uid="{00000000-0005-0000-0000-0000D6060000}"/>
    <cellStyle name="Обычный 66" xfId="1752" xr:uid="{00000000-0005-0000-0000-0000D7060000}"/>
    <cellStyle name="Обычный 66 2" xfId="1753" xr:uid="{00000000-0005-0000-0000-0000D8060000}"/>
    <cellStyle name="Обычный 66 3" xfId="1754" xr:uid="{00000000-0005-0000-0000-0000D9060000}"/>
    <cellStyle name="Обычный 67" xfId="1755" xr:uid="{00000000-0005-0000-0000-0000DA060000}"/>
    <cellStyle name="Обычный 67 2" xfId="1756" xr:uid="{00000000-0005-0000-0000-0000DB060000}"/>
    <cellStyle name="Обычный 67 3" xfId="1757" xr:uid="{00000000-0005-0000-0000-0000DC060000}"/>
    <cellStyle name="Обычный 68" xfId="1758" xr:uid="{00000000-0005-0000-0000-0000DD060000}"/>
    <cellStyle name="Обычный 68 2" xfId="1759" xr:uid="{00000000-0005-0000-0000-0000DE060000}"/>
    <cellStyle name="Обычный 68 3" xfId="1760" xr:uid="{00000000-0005-0000-0000-0000DF060000}"/>
    <cellStyle name="Обычный 69" xfId="1761" xr:uid="{00000000-0005-0000-0000-0000E0060000}"/>
    <cellStyle name="Обычный 69 2" xfId="1762" xr:uid="{00000000-0005-0000-0000-0000E1060000}"/>
    <cellStyle name="Обычный 69 3" xfId="1763" xr:uid="{00000000-0005-0000-0000-0000E2060000}"/>
    <cellStyle name="Обычный 7" xfId="1764" xr:uid="{00000000-0005-0000-0000-0000E3060000}"/>
    <cellStyle name="Обычный 7 10" xfId="1765" xr:uid="{00000000-0005-0000-0000-0000E4060000}"/>
    <cellStyle name="Обычный 7 10 2" xfId="1766" xr:uid="{00000000-0005-0000-0000-0000E5060000}"/>
    <cellStyle name="Обычный 7 10 3" xfId="1767" xr:uid="{00000000-0005-0000-0000-0000E6060000}"/>
    <cellStyle name="Обычный 7 11" xfId="1768" xr:uid="{00000000-0005-0000-0000-0000E7060000}"/>
    <cellStyle name="Обычный 7 11 2" xfId="1769" xr:uid="{00000000-0005-0000-0000-0000E8060000}"/>
    <cellStyle name="Обычный 7 11 3" xfId="1770" xr:uid="{00000000-0005-0000-0000-0000E9060000}"/>
    <cellStyle name="Обычный 7 12" xfId="1771" xr:uid="{00000000-0005-0000-0000-0000EA060000}"/>
    <cellStyle name="Обычный 7 12 2" xfId="1772" xr:uid="{00000000-0005-0000-0000-0000EB060000}"/>
    <cellStyle name="Обычный 7 12 3" xfId="1773" xr:uid="{00000000-0005-0000-0000-0000EC060000}"/>
    <cellStyle name="Обычный 7 13" xfId="1774" xr:uid="{00000000-0005-0000-0000-0000ED060000}"/>
    <cellStyle name="Обычный 7 13 2" xfId="1775" xr:uid="{00000000-0005-0000-0000-0000EE060000}"/>
    <cellStyle name="Обычный 7 13 3" xfId="1776" xr:uid="{00000000-0005-0000-0000-0000EF060000}"/>
    <cellStyle name="Обычный 7 14" xfId="1777" xr:uid="{00000000-0005-0000-0000-0000F0060000}"/>
    <cellStyle name="Обычный 7 14 2" xfId="1778" xr:uid="{00000000-0005-0000-0000-0000F1060000}"/>
    <cellStyle name="Обычный 7 14 3" xfId="1779" xr:uid="{00000000-0005-0000-0000-0000F2060000}"/>
    <cellStyle name="Обычный 7 15" xfId="1780" xr:uid="{00000000-0005-0000-0000-0000F3060000}"/>
    <cellStyle name="Обычный 7 15 2" xfId="1781" xr:uid="{00000000-0005-0000-0000-0000F4060000}"/>
    <cellStyle name="Обычный 7 15 3" xfId="1782" xr:uid="{00000000-0005-0000-0000-0000F5060000}"/>
    <cellStyle name="Обычный 7 16" xfId="1783" xr:uid="{00000000-0005-0000-0000-0000F6060000}"/>
    <cellStyle name="Обычный 7 16 2" xfId="1784" xr:uid="{00000000-0005-0000-0000-0000F7060000}"/>
    <cellStyle name="Обычный 7 16 3" xfId="1785" xr:uid="{00000000-0005-0000-0000-0000F8060000}"/>
    <cellStyle name="Обычный 7 17" xfId="1786" xr:uid="{00000000-0005-0000-0000-0000F9060000}"/>
    <cellStyle name="Обычный 7 17 2" xfId="1787" xr:uid="{00000000-0005-0000-0000-0000FA060000}"/>
    <cellStyle name="Обычный 7 17 3" xfId="1788" xr:uid="{00000000-0005-0000-0000-0000FB060000}"/>
    <cellStyle name="Обычный 7 18" xfId="1789" xr:uid="{00000000-0005-0000-0000-0000FC060000}"/>
    <cellStyle name="Обычный 7 18 2" xfId="1790" xr:uid="{00000000-0005-0000-0000-0000FD060000}"/>
    <cellStyle name="Обычный 7 19" xfId="1791" xr:uid="{00000000-0005-0000-0000-0000FE060000}"/>
    <cellStyle name="Обычный 7 2" xfId="1792" xr:uid="{00000000-0005-0000-0000-0000FF060000}"/>
    <cellStyle name="Обычный 7 2 2" xfId="1793" xr:uid="{00000000-0005-0000-0000-000000070000}"/>
    <cellStyle name="Обычный 7 2 3" xfId="1794" xr:uid="{00000000-0005-0000-0000-000001070000}"/>
    <cellStyle name="Обычный 7 2 4" xfId="1795" xr:uid="{00000000-0005-0000-0000-000002070000}"/>
    <cellStyle name="Обычный 7 20" xfId="1796" xr:uid="{00000000-0005-0000-0000-000003070000}"/>
    <cellStyle name="Обычный 7 3" xfId="1797" xr:uid="{00000000-0005-0000-0000-000004070000}"/>
    <cellStyle name="Обычный 7 3 2" xfId="1798" xr:uid="{00000000-0005-0000-0000-000005070000}"/>
    <cellStyle name="Обычный 7 3 3" xfId="1799" xr:uid="{00000000-0005-0000-0000-000006070000}"/>
    <cellStyle name="Обычный 7 4" xfId="1800" xr:uid="{00000000-0005-0000-0000-000007070000}"/>
    <cellStyle name="Обычный 7 4 2" xfId="1801" xr:uid="{00000000-0005-0000-0000-000008070000}"/>
    <cellStyle name="Обычный 7 4 3" xfId="1802" xr:uid="{00000000-0005-0000-0000-000009070000}"/>
    <cellStyle name="Обычный 7 5" xfId="1803" xr:uid="{00000000-0005-0000-0000-00000A070000}"/>
    <cellStyle name="Обычный 7 5 2" xfId="1804" xr:uid="{00000000-0005-0000-0000-00000B070000}"/>
    <cellStyle name="Обычный 7 5 3" xfId="1805" xr:uid="{00000000-0005-0000-0000-00000C070000}"/>
    <cellStyle name="Обычный 7 6" xfId="1806" xr:uid="{00000000-0005-0000-0000-00000D070000}"/>
    <cellStyle name="Обычный 7 6 2" xfId="1807" xr:uid="{00000000-0005-0000-0000-00000E070000}"/>
    <cellStyle name="Обычный 7 6 3" xfId="1808" xr:uid="{00000000-0005-0000-0000-00000F070000}"/>
    <cellStyle name="Обычный 7 7" xfId="1809" xr:uid="{00000000-0005-0000-0000-000010070000}"/>
    <cellStyle name="Обычный 7 7 2" xfId="1810" xr:uid="{00000000-0005-0000-0000-000011070000}"/>
    <cellStyle name="Обычный 7 7 3" xfId="1811" xr:uid="{00000000-0005-0000-0000-000012070000}"/>
    <cellStyle name="Обычный 7 8" xfId="1812" xr:uid="{00000000-0005-0000-0000-000013070000}"/>
    <cellStyle name="Обычный 7 8 2" xfId="1813" xr:uid="{00000000-0005-0000-0000-000014070000}"/>
    <cellStyle name="Обычный 7 8 3" xfId="1814" xr:uid="{00000000-0005-0000-0000-000015070000}"/>
    <cellStyle name="Обычный 7 9" xfId="1815" xr:uid="{00000000-0005-0000-0000-000016070000}"/>
    <cellStyle name="Обычный 7 9 2" xfId="1816" xr:uid="{00000000-0005-0000-0000-000017070000}"/>
    <cellStyle name="Обычный 7 9 3" xfId="1817" xr:uid="{00000000-0005-0000-0000-000018070000}"/>
    <cellStyle name="Обычный 70" xfId="1818" xr:uid="{00000000-0005-0000-0000-000019070000}"/>
    <cellStyle name="Обычный 70 2" xfId="1819" xr:uid="{00000000-0005-0000-0000-00001A070000}"/>
    <cellStyle name="Обычный 70 3" xfId="1820" xr:uid="{00000000-0005-0000-0000-00001B070000}"/>
    <cellStyle name="Обычный 71" xfId="1821" xr:uid="{00000000-0005-0000-0000-00001C070000}"/>
    <cellStyle name="Обычный 71 2" xfId="1822" xr:uid="{00000000-0005-0000-0000-00001D070000}"/>
    <cellStyle name="Обычный 71 3" xfId="1823" xr:uid="{00000000-0005-0000-0000-00001E070000}"/>
    <cellStyle name="Обычный 72" xfId="1824" xr:uid="{00000000-0005-0000-0000-00001F070000}"/>
    <cellStyle name="Обычный 72 2" xfId="1825" xr:uid="{00000000-0005-0000-0000-000020070000}"/>
    <cellStyle name="Обычный 72 3" xfId="1826" xr:uid="{00000000-0005-0000-0000-000021070000}"/>
    <cellStyle name="Обычный 73" xfId="1827" xr:uid="{00000000-0005-0000-0000-000022070000}"/>
    <cellStyle name="Обычный 73 2" xfId="1828" xr:uid="{00000000-0005-0000-0000-000023070000}"/>
    <cellStyle name="Обычный 73 3" xfId="1829" xr:uid="{00000000-0005-0000-0000-000024070000}"/>
    <cellStyle name="Обычный 74" xfId="1830" xr:uid="{00000000-0005-0000-0000-000025070000}"/>
    <cellStyle name="Обычный 74 2" xfId="1831" xr:uid="{00000000-0005-0000-0000-000026070000}"/>
    <cellStyle name="Обычный 74 3" xfId="1832" xr:uid="{00000000-0005-0000-0000-000027070000}"/>
    <cellStyle name="Обычный 75" xfId="1833" xr:uid="{00000000-0005-0000-0000-000028070000}"/>
    <cellStyle name="Обычный 75 2" xfId="1834" xr:uid="{00000000-0005-0000-0000-000029070000}"/>
    <cellStyle name="Обычный 75 3" xfId="1835" xr:uid="{00000000-0005-0000-0000-00002A070000}"/>
    <cellStyle name="Обычный 76" xfId="1836" xr:uid="{00000000-0005-0000-0000-00002B070000}"/>
    <cellStyle name="Обычный 76 2" xfId="1837" xr:uid="{00000000-0005-0000-0000-00002C070000}"/>
    <cellStyle name="Обычный 76 3" xfId="1838" xr:uid="{00000000-0005-0000-0000-00002D070000}"/>
    <cellStyle name="Обычный 77" xfId="1839" xr:uid="{00000000-0005-0000-0000-00002E070000}"/>
    <cellStyle name="Обычный 77 2" xfId="1840" xr:uid="{00000000-0005-0000-0000-00002F070000}"/>
    <cellStyle name="Обычный 77 3" xfId="1841" xr:uid="{00000000-0005-0000-0000-000030070000}"/>
    <cellStyle name="Обычный 78" xfId="1842" xr:uid="{00000000-0005-0000-0000-000031070000}"/>
    <cellStyle name="Обычный 78 2" xfId="1843" xr:uid="{00000000-0005-0000-0000-000032070000}"/>
    <cellStyle name="Обычный 78 3" xfId="1844" xr:uid="{00000000-0005-0000-0000-000033070000}"/>
    <cellStyle name="Обычный 79" xfId="1845" xr:uid="{00000000-0005-0000-0000-000034070000}"/>
    <cellStyle name="Обычный 79 2" xfId="1846" xr:uid="{00000000-0005-0000-0000-000035070000}"/>
    <cellStyle name="Обычный 79 3" xfId="1847" xr:uid="{00000000-0005-0000-0000-000036070000}"/>
    <cellStyle name="Обычный 8" xfId="1848" xr:uid="{00000000-0005-0000-0000-000037070000}"/>
    <cellStyle name="Обычный 8 10" xfId="1849" xr:uid="{00000000-0005-0000-0000-000038070000}"/>
    <cellStyle name="Обычный 8 10 2" xfId="1850" xr:uid="{00000000-0005-0000-0000-000039070000}"/>
    <cellStyle name="Обычный 8 10 3" xfId="1851" xr:uid="{00000000-0005-0000-0000-00003A070000}"/>
    <cellStyle name="Обычный 8 11" xfId="1852" xr:uid="{00000000-0005-0000-0000-00003B070000}"/>
    <cellStyle name="Обычный 8 11 2" xfId="1853" xr:uid="{00000000-0005-0000-0000-00003C070000}"/>
    <cellStyle name="Обычный 8 11 3" xfId="1854" xr:uid="{00000000-0005-0000-0000-00003D070000}"/>
    <cellStyle name="Обычный 8 12" xfId="1855" xr:uid="{00000000-0005-0000-0000-00003E070000}"/>
    <cellStyle name="Обычный 8 12 2" xfId="1856" xr:uid="{00000000-0005-0000-0000-00003F070000}"/>
    <cellStyle name="Обычный 8 12 3" xfId="1857" xr:uid="{00000000-0005-0000-0000-000040070000}"/>
    <cellStyle name="Обычный 8 13" xfId="1858" xr:uid="{00000000-0005-0000-0000-000041070000}"/>
    <cellStyle name="Обычный 8 13 2" xfId="1859" xr:uid="{00000000-0005-0000-0000-000042070000}"/>
    <cellStyle name="Обычный 8 13 3" xfId="1860" xr:uid="{00000000-0005-0000-0000-000043070000}"/>
    <cellStyle name="Обычный 8 14" xfId="1861" xr:uid="{00000000-0005-0000-0000-000044070000}"/>
    <cellStyle name="Обычный 8 14 2" xfId="1862" xr:uid="{00000000-0005-0000-0000-000045070000}"/>
    <cellStyle name="Обычный 8 14 3" xfId="1863" xr:uid="{00000000-0005-0000-0000-000046070000}"/>
    <cellStyle name="Обычный 8 15" xfId="1864" xr:uid="{00000000-0005-0000-0000-000047070000}"/>
    <cellStyle name="Обычный 8 15 2" xfId="1865" xr:uid="{00000000-0005-0000-0000-000048070000}"/>
    <cellStyle name="Обычный 8 15 3" xfId="1866" xr:uid="{00000000-0005-0000-0000-000049070000}"/>
    <cellStyle name="Обычный 8 16" xfId="1867" xr:uid="{00000000-0005-0000-0000-00004A070000}"/>
    <cellStyle name="Обычный 8 16 2" xfId="1868" xr:uid="{00000000-0005-0000-0000-00004B070000}"/>
    <cellStyle name="Обычный 8 16 3" xfId="1869" xr:uid="{00000000-0005-0000-0000-00004C070000}"/>
    <cellStyle name="Обычный 8 17" xfId="1870" xr:uid="{00000000-0005-0000-0000-00004D070000}"/>
    <cellStyle name="Обычный 8 17 2" xfId="1871" xr:uid="{00000000-0005-0000-0000-00004E070000}"/>
    <cellStyle name="Обычный 8 17 3" xfId="1872" xr:uid="{00000000-0005-0000-0000-00004F070000}"/>
    <cellStyle name="Обычный 8 18" xfId="1873" xr:uid="{00000000-0005-0000-0000-000050070000}"/>
    <cellStyle name="Обычный 8 18 2" xfId="1874" xr:uid="{00000000-0005-0000-0000-000051070000}"/>
    <cellStyle name="Обычный 8 19" xfId="1875" xr:uid="{00000000-0005-0000-0000-000052070000}"/>
    <cellStyle name="Обычный 8 2" xfId="1876" xr:uid="{00000000-0005-0000-0000-000053070000}"/>
    <cellStyle name="Обычный 8 2 2" xfId="1877" xr:uid="{00000000-0005-0000-0000-000054070000}"/>
    <cellStyle name="Обычный 8 2 3" xfId="1878" xr:uid="{00000000-0005-0000-0000-000055070000}"/>
    <cellStyle name="Обычный 8 2 4" xfId="1879" xr:uid="{00000000-0005-0000-0000-000056070000}"/>
    <cellStyle name="Обычный 8 20" xfId="1880" xr:uid="{00000000-0005-0000-0000-000057070000}"/>
    <cellStyle name="Обычный 8 3" xfId="1881" xr:uid="{00000000-0005-0000-0000-000058070000}"/>
    <cellStyle name="Обычный 8 3 2" xfId="1882" xr:uid="{00000000-0005-0000-0000-000059070000}"/>
    <cellStyle name="Обычный 8 3 3" xfId="1883" xr:uid="{00000000-0005-0000-0000-00005A070000}"/>
    <cellStyle name="Обычный 8 4" xfId="1884" xr:uid="{00000000-0005-0000-0000-00005B070000}"/>
    <cellStyle name="Обычный 8 4 2" xfId="1885" xr:uid="{00000000-0005-0000-0000-00005C070000}"/>
    <cellStyle name="Обычный 8 4 3" xfId="1886" xr:uid="{00000000-0005-0000-0000-00005D070000}"/>
    <cellStyle name="Обычный 8 5" xfId="1887" xr:uid="{00000000-0005-0000-0000-00005E070000}"/>
    <cellStyle name="Обычный 8 5 2" xfId="1888" xr:uid="{00000000-0005-0000-0000-00005F070000}"/>
    <cellStyle name="Обычный 8 5 3" xfId="1889" xr:uid="{00000000-0005-0000-0000-000060070000}"/>
    <cellStyle name="Обычный 8 6" xfId="1890" xr:uid="{00000000-0005-0000-0000-000061070000}"/>
    <cellStyle name="Обычный 8 6 2" xfId="1891" xr:uid="{00000000-0005-0000-0000-000062070000}"/>
    <cellStyle name="Обычный 8 6 3" xfId="1892" xr:uid="{00000000-0005-0000-0000-000063070000}"/>
    <cellStyle name="Обычный 8 7" xfId="1893" xr:uid="{00000000-0005-0000-0000-000064070000}"/>
    <cellStyle name="Обычный 8 7 2" xfId="1894" xr:uid="{00000000-0005-0000-0000-000065070000}"/>
    <cellStyle name="Обычный 8 7 3" xfId="1895" xr:uid="{00000000-0005-0000-0000-000066070000}"/>
    <cellStyle name="Обычный 8 8" xfId="1896" xr:uid="{00000000-0005-0000-0000-000067070000}"/>
    <cellStyle name="Обычный 8 8 2" xfId="1897" xr:uid="{00000000-0005-0000-0000-000068070000}"/>
    <cellStyle name="Обычный 8 8 3" xfId="1898" xr:uid="{00000000-0005-0000-0000-000069070000}"/>
    <cellStyle name="Обычный 8 9" xfId="1899" xr:uid="{00000000-0005-0000-0000-00006A070000}"/>
    <cellStyle name="Обычный 8 9 2" xfId="1900" xr:uid="{00000000-0005-0000-0000-00006B070000}"/>
    <cellStyle name="Обычный 8 9 3" xfId="1901" xr:uid="{00000000-0005-0000-0000-00006C070000}"/>
    <cellStyle name="Обычный 80" xfId="1902" xr:uid="{00000000-0005-0000-0000-00006D070000}"/>
    <cellStyle name="Обычный 80 2" xfId="1903" xr:uid="{00000000-0005-0000-0000-00006E070000}"/>
    <cellStyle name="Обычный 80 3" xfId="1904" xr:uid="{00000000-0005-0000-0000-00006F070000}"/>
    <cellStyle name="Обычный 81" xfId="1905" xr:uid="{00000000-0005-0000-0000-000070070000}"/>
    <cellStyle name="Обычный 9" xfId="1906" xr:uid="{00000000-0005-0000-0000-000071070000}"/>
    <cellStyle name="Обычный 9 2" xfId="1907" xr:uid="{00000000-0005-0000-0000-000072070000}"/>
    <cellStyle name="Обычный 9 2 2" xfId="1908" xr:uid="{00000000-0005-0000-0000-000073070000}"/>
    <cellStyle name="Обычный 9 3" xfId="1909" xr:uid="{00000000-0005-0000-0000-000074070000}"/>
    <cellStyle name="Процентный 2" xfId="1910" xr:uid="{00000000-0005-0000-0000-000075070000}"/>
    <cellStyle name="Процентный 3" xfId="1911" xr:uid="{00000000-0005-0000-0000-000076070000}"/>
    <cellStyle name="Тысячи [0]_казнач. (3)" xfId="1912" xr:uid="{00000000-0005-0000-0000-000077070000}"/>
    <cellStyle name="Тысячи_казнач. (3)" xfId="1913" xr:uid="{00000000-0005-0000-0000-000078070000}"/>
    <cellStyle name="Финансовый 2" xfId="1914" xr:uid="{00000000-0005-0000-0000-00007A070000}"/>
    <cellStyle name="Финансовый 3" xfId="1915" xr:uid="{00000000-0005-0000-0000-00007B070000}"/>
    <cellStyle name="Финансовый 4" xfId="1916" xr:uid="{00000000-0005-0000-0000-00007C07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7327</xdr:colOff>
      <xdr:row>5</xdr:row>
      <xdr:rowOff>87923</xdr:rowOff>
    </xdr:from>
    <xdr:to>
      <xdr:col>1</xdr:col>
      <xdr:colOff>1575288</xdr:colOff>
      <xdr:row>5</xdr:row>
      <xdr:rowOff>87923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 bwMode="auto">
        <a:xfrm>
          <a:off x="540727" y="802298"/>
          <a:ext cx="529736" cy="0"/>
        </a:xfrm>
        <a:prstGeom prst="line">
          <a:avLst/>
        </a:prstGeom>
        <a:ln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 val="1"/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30612</xdr:colOff>
      <xdr:row>5</xdr:row>
      <xdr:rowOff>57150</xdr:rowOff>
    </xdr:from>
    <xdr:to>
      <xdr:col>35</xdr:col>
      <xdr:colOff>722273</xdr:colOff>
      <xdr:row>5</xdr:row>
      <xdr:rowOff>57150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>
          <a:off x="12214329" y="885411"/>
          <a:ext cx="1511640" cy="0"/>
        </a:xfrm>
        <a:prstGeom prst="line">
          <a:avLst/>
        </a:prstGeom>
        <a:ln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 val="1"/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7327</xdr:colOff>
      <xdr:row>8</xdr:row>
      <xdr:rowOff>87923</xdr:rowOff>
    </xdr:from>
    <xdr:to>
      <xdr:col>1</xdr:col>
      <xdr:colOff>1575288</xdr:colOff>
      <xdr:row>8</xdr:row>
      <xdr:rowOff>87923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 bwMode="auto">
        <a:xfrm>
          <a:off x="550252" y="897548"/>
          <a:ext cx="1567961" cy="0"/>
        </a:xfrm>
        <a:prstGeom prst="line">
          <a:avLst/>
        </a:prstGeom>
        <a:ln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 val="1"/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44296</xdr:colOff>
      <xdr:row>8</xdr:row>
      <xdr:rowOff>57150</xdr:rowOff>
    </xdr:from>
    <xdr:to>
      <xdr:col>39</xdr:col>
      <xdr:colOff>662940</xdr:colOff>
      <xdr:row>8</xdr:row>
      <xdr:rowOff>58616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 bwMode="auto">
        <a:xfrm>
          <a:off x="10575136" y="994410"/>
          <a:ext cx="1441604" cy="1466"/>
        </a:xfrm>
        <a:prstGeom prst="line">
          <a:avLst/>
        </a:prstGeom>
        <a:ln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 val="1"/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7327</xdr:colOff>
      <xdr:row>8</xdr:row>
      <xdr:rowOff>87923</xdr:rowOff>
    </xdr:from>
    <xdr:to>
      <xdr:col>1</xdr:col>
      <xdr:colOff>1575288</xdr:colOff>
      <xdr:row>8</xdr:row>
      <xdr:rowOff>87923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 bwMode="auto">
        <a:xfrm>
          <a:off x="550252" y="1030898"/>
          <a:ext cx="1567961" cy="0"/>
        </a:xfrm>
        <a:prstGeom prst="line">
          <a:avLst/>
        </a:prstGeom>
        <a:ln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 val="1"/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30612</xdr:colOff>
      <xdr:row>8</xdr:row>
      <xdr:rowOff>57150</xdr:rowOff>
    </xdr:from>
    <xdr:to>
      <xdr:col>35</xdr:col>
      <xdr:colOff>722273</xdr:colOff>
      <xdr:row>8</xdr:row>
      <xdr:rowOff>57150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 bwMode="auto">
        <a:xfrm>
          <a:off x="9679437" y="1000125"/>
          <a:ext cx="1567961" cy="0"/>
        </a:xfrm>
        <a:prstGeom prst="line">
          <a:avLst/>
        </a:prstGeom>
        <a:ln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 val="1"/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01"/>
  <sheetViews>
    <sheetView showZeros="0" topLeftCell="A269" zoomScale="140" zoomScaleNormal="140" workbookViewId="0">
      <selection activeCell="AK298" sqref="AK298"/>
    </sheetView>
  </sheetViews>
  <sheetFormatPr defaultColWidth="9.28515625" defaultRowHeight="15.6" x14ac:dyDescent="0.3"/>
  <cols>
    <col min="1" max="1" width="9.42578125" style="1" bestFit="1" customWidth="1"/>
    <col min="2" max="2" width="40.28515625" style="1" customWidth="1"/>
    <col min="3" max="3" width="15.28515625" style="1" customWidth="1"/>
    <col min="4" max="4" width="15.28515625" style="1" bestFit="1" customWidth="1"/>
    <col min="5" max="5" width="14.140625" style="1" customWidth="1"/>
    <col min="6" max="6" width="15.28515625" style="1" customWidth="1"/>
    <col min="7" max="9" width="15.28515625" style="1" hidden="1" customWidth="1"/>
    <col min="10" max="11" width="15" style="1" hidden="1" customWidth="1"/>
    <col min="12" max="12" width="15.28515625" style="1" hidden="1" customWidth="1"/>
    <col min="13" max="13" width="14.85546875" style="1" customWidth="1"/>
    <col min="14" max="14" width="15" style="1" hidden="1" customWidth="1"/>
    <col min="15" max="15" width="9.42578125" style="1" hidden="1" customWidth="1"/>
    <col min="16" max="16" width="15.28515625" style="1" hidden="1" customWidth="1"/>
    <col min="17" max="23" width="15" style="1" hidden="1" customWidth="1"/>
    <col min="24" max="24" width="14" style="1" customWidth="1"/>
    <col min="25" max="25" width="14" style="1" hidden="1" customWidth="1"/>
    <col min="26" max="29" width="15" style="1" hidden="1" customWidth="1"/>
    <col min="30" max="30" width="15" style="1" customWidth="1"/>
    <col min="31" max="31" width="15.28515625" style="1" hidden="1" customWidth="1"/>
    <col min="32" max="33" width="15" style="1" hidden="1" customWidth="1"/>
    <col min="34" max="34" width="15" style="1" customWidth="1"/>
    <col min="35" max="35" width="15.28515625" style="1" customWidth="1"/>
    <col min="36" max="36" width="14.28515625" style="1" customWidth="1"/>
    <col min="37" max="37" width="14.28515625" style="103" customWidth="1"/>
    <col min="38" max="38" width="14.28515625" style="1" hidden="1" customWidth="1"/>
    <col min="39" max="39" width="10.7109375" style="1" bestFit="1" customWidth="1"/>
    <col min="40" max="16384" width="9.28515625" style="1"/>
  </cols>
  <sheetData>
    <row r="1" spans="1:40" s="18" customFormat="1" ht="13.2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20"/>
    </row>
    <row r="2" spans="1:40" s="18" customFormat="1" ht="13.2" x14ac:dyDescent="0.25">
      <c r="A2" s="90"/>
      <c r="B2" s="20" t="s">
        <v>326</v>
      </c>
      <c r="C2" s="27"/>
      <c r="D2" s="27"/>
      <c r="E2" s="27"/>
      <c r="F2" s="27"/>
      <c r="G2" s="27"/>
      <c r="H2" s="26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1"/>
      <c r="AD2" s="20"/>
      <c r="AE2" s="20"/>
      <c r="AF2" s="20"/>
      <c r="AG2" s="20"/>
      <c r="AH2" s="89"/>
      <c r="AI2" s="20" t="s">
        <v>323</v>
      </c>
      <c r="AJ2" s="20"/>
      <c r="AK2" s="20"/>
      <c r="AL2" s="20"/>
    </row>
    <row r="3" spans="1:40" s="18" customFormat="1" ht="13.2" x14ac:dyDescent="0.25">
      <c r="A3" s="26"/>
      <c r="B3" s="20" t="s">
        <v>322</v>
      </c>
      <c r="C3" s="27"/>
      <c r="D3" s="27"/>
      <c r="E3" s="27"/>
      <c r="F3" s="27"/>
      <c r="G3" s="27"/>
      <c r="H3" s="26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1"/>
      <c r="AD3" s="20"/>
      <c r="AE3" s="20"/>
      <c r="AF3" s="20"/>
      <c r="AG3" s="20"/>
      <c r="AH3" s="89"/>
      <c r="AI3" s="20" t="s">
        <v>321</v>
      </c>
      <c r="AJ3" s="20"/>
      <c r="AK3" s="20"/>
      <c r="AL3" s="20"/>
    </row>
    <row r="4" spans="1:40" s="18" customFormat="1" ht="13.2" x14ac:dyDescent="0.25">
      <c r="A4" s="26"/>
      <c r="B4" s="89" t="s">
        <v>325</v>
      </c>
      <c r="C4" s="27"/>
      <c r="D4" s="27"/>
      <c r="E4" s="27"/>
      <c r="F4" s="27"/>
      <c r="G4" s="27"/>
      <c r="H4" s="26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1"/>
      <c r="AD4" s="89"/>
      <c r="AE4" s="89"/>
      <c r="AF4" s="89"/>
      <c r="AG4" s="89"/>
      <c r="AH4" s="89"/>
      <c r="AI4" s="89" t="s">
        <v>320</v>
      </c>
      <c r="AJ4" s="20"/>
      <c r="AK4" s="20"/>
      <c r="AL4" s="20"/>
    </row>
    <row r="5" spans="1:40" s="18" customFormat="1" ht="13.2" x14ac:dyDescent="0.25">
      <c r="A5" s="26"/>
      <c r="B5" s="20"/>
      <c r="C5" s="27"/>
      <c r="D5" s="27"/>
      <c r="E5" s="27"/>
      <c r="F5" s="27"/>
      <c r="G5" s="27"/>
      <c r="H5" s="26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1"/>
      <c r="AD5" s="20"/>
      <c r="AE5" s="20"/>
      <c r="AF5" s="20"/>
      <c r="AG5" s="20"/>
      <c r="AH5" s="89"/>
      <c r="AI5" s="20"/>
      <c r="AJ5" s="20"/>
      <c r="AK5" s="20"/>
      <c r="AL5" s="20"/>
    </row>
    <row r="6" spans="1:40" s="18" customFormat="1" ht="13.2" x14ac:dyDescent="0.25">
      <c r="A6" s="26"/>
      <c r="B6" s="20"/>
      <c r="C6" s="27"/>
      <c r="D6" s="27"/>
      <c r="E6" s="27"/>
      <c r="F6" s="27"/>
      <c r="G6" s="27"/>
      <c r="H6" s="26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1"/>
      <c r="AD6" s="20"/>
      <c r="AE6" s="20"/>
      <c r="AF6" s="20"/>
      <c r="AG6" s="20"/>
      <c r="AH6" s="89"/>
      <c r="AI6" s="20"/>
      <c r="AJ6" s="20"/>
      <c r="AK6" s="20"/>
      <c r="AL6" s="20"/>
    </row>
    <row r="7" spans="1:40" s="18" customFormat="1" ht="13.2" x14ac:dyDescent="0.25">
      <c r="A7" s="20"/>
      <c r="B7" s="21" t="s">
        <v>327</v>
      </c>
      <c r="C7" s="27"/>
      <c r="D7" s="27"/>
      <c r="E7" s="27"/>
      <c r="F7" s="27"/>
      <c r="G7" s="27"/>
      <c r="H7" s="26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1"/>
      <c r="AD7" s="21"/>
      <c r="AE7" s="20"/>
      <c r="AF7" s="20"/>
      <c r="AG7" s="20"/>
      <c r="AH7" s="89"/>
      <c r="AI7" s="21" t="s">
        <v>327</v>
      </c>
      <c r="AJ7" s="20"/>
      <c r="AK7" s="20"/>
      <c r="AL7" s="20"/>
    </row>
    <row r="8" spans="1:40" s="18" customFormat="1" ht="13.2" x14ac:dyDescent="0.25">
      <c r="A8" s="20"/>
      <c r="B8" s="20"/>
      <c r="C8" s="27"/>
      <c r="D8" s="27"/>
      <c r="E8" s="27"/>
      <c r="F8" s="27"/>
      <c r="G8" s="20"/>
      <c r="H8" s="26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1"/>
      <c r="AD8" s="20"/>
      <c r="AE8" s="20"/>
      <c r="AF8" s="20"/>
      <c r="AG8" s="20"/>
      <c r="AH8" s="89"/>
      <c r="AI8" s="89"/>
      <c r="AJ8" s="20"/>
      <c r="AK8" s="20"/>
      <c r="AL8" s="20"/>
    </row>
    <row r="9" spans="1:40" s="18" customFormat="1" ht="13.2" x14ac:dyDescent="0.25">
      <c r="A9" s="140" t="s">
        <v>319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</row>
    <row r="10" spans="1:40" s="18" customFormat="1" ht="13.2" x14ac:dyDescent="0.25">
      <c r="A10" s="140" t="s">
        <v>318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</row>
    <row r="11" spans="1:40" s="18" customFormat="1" ht="13.2" x14ac:dyDescent="0.25">
      <c r="A11" s="140" t="s">
        <v>331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</row>
    <row r="12" spans="1:40" x14ac:dyDescent="0.3">
      <c r="A12" s="83"/>
      <c r="B12" s="88"/>
      <c r="C12" s="88"/>
      <c r="D12" s="88"/>
      <c r="E12" s="88"/>
      <c r="F12" s="88"/>
      <c r="G12" s="88"/>
      <c r="H12" s="87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6"/>
      <c r="AD12" s="84"/>
      <c r="AE12" s="84"/>
      <c r="AF12" s="84"/>
      <c r="AG12" s="84"/>
      <c r="AI12" s="84"/>
      <c r="AJ12" s="85"/>
      <c r="AK12" s="86" t="s">
        <v>274</v>
      </c>
      <c r="AM12" s="18"/>
      <c r="AN12" s="18"/>
    </row>
    <row r="13" spans="1:40" ht="32.4" x14ac:dyDescent="0.3">
      <c r="A13" s="83"/>
      <c r="B13" s="82" t="s">
        <v>317</v>
      </c>
      <c r="C13" s="79" t="s">
        <v>271</v>
      </c>
      <c r="D13" s="79" t="s">
        <v>270</v>
      </c>
      <c r="E13" s="78" t="s">
        <v>269</v>
      </c>
      <c r="F13" s="78" t="s">
        <v>268</v>
      </c>
      <c r="G13" s="79" t="s">
        <v>316</v>
      </c>
      <c r="H13" s="81" t="s">
        <v>315</v>
      </c>
      <c r="I13" s="80" t="s">
        <v>314</v>
      </c>
      <c r="J13" s="80" t="s">
        <v>314</v>
      </c>
      <c r="K13" s="80" t="s">
        <v>314</v>
      </c>
      <c r="L13" s="79" t="s">
        <v>313</v>
      </c>
      <c r="M13" s="78" t="s">
        <v>263</v>
      </c>
      <c r="N13" s="79" t="s">
        <v>262</v>
      </c>
      <c r="O13" s="79" t="s">
        <v>261</v>
      </c>
      <c r="P13" s="79" t="s">
        <v>312</v>
      </c>
      <c r="Q13" s="79" t="s">
        <v>311</v>
      </c>
      <c r="R13" s="79" t="s">
        <v>258</v>
      </c>
      <c r="S13" s="79" t="s">
        <v>257</v>
      </c>
      <c r="T13" s="79" t="s">
        <v>256</v>
      </c>
      <c r="U13" s="79" t="s">
        <v>255</v>
      </c>
      <c r="V13" s="79" t="s">
        <v>254</v>
      </c>
      <c r="W13" s="79" t="s">
        <v>253</v>
      </c>
      <c r="X13" s="78" t="s">
        <v>252</v>
      </c>
      <c r="Y13" s="79"/>
      <c r="Z13" s="79" t="s">
        <v>250</v>
      </c>
      <c r="AA13" s="79" t="s">
        <v>249</v>
      </c>
      <c r="AB13" s="79" t="s">
        <v>248</v>
      </c>
      <c r="AC13" s="79" t="s">
        <v>247</v>
      </c>
      <c r="AD13" s="78" t="s">
        <v>246</v>
      </c>
      <c r="AE13" s="79" t="s">
        <v>245</v>
      </c>
      <c r="AF13" s="79" t="s">
        <v>244</v>
      </c>
      <c r="AG13" s="79" t="s">
        <v>244</v>
      </c>
      <c r="AH13" s="78" t="s">
        <v>243</v>
      </c>
      <c r="AI13" s="78" t="s">
        <v>310</v>
      </c>
      <c r="AJ13" s="78" t="s">
        <v>241</v>
      </c>
      <c r="AK13" s="78" t="s">
        <v>328</v>
      </c>
      <c r="AL13" s="78" t="s">
        <v>309</v>
      </c>
      <c r="AM13" s="18"/>
      <c r="AN13" s="18"/>
    </row>
    <row r="14" spans="1:40" s="2" customFormat="1" ht="10.199999999999999" x14ac:dyDescent="0.2">
      <c r="A14" s="3"/>
      <c r="B14" s="77" t="s">
        <v>308</v>
      </c>
      <c r="C14" s="76">
        <f>C15+C34+C35+C37+C47</f>
        <v>125767448.5</v>
      </c>
      <c r="D14" s="76">
        <f t="shared" ref="D14:D22" si="0">C14/12</f>
        <v>10480620.708333334</v>
      </c>
      <c r="E14" s="76">
        <f>E15+E34+E35+E37+E47</f>
        <v>6378770</v>
      </c>
      <c r="F14" s="76">
        <f>F15+F34+F35+F37+F47</f>
        <v>9919660</v>
      </c>
      <c r="G14" s="76">
        <f>G15+G34+G35+G37+G47</f>
        <v>7578500</v>
      </c>
      <c r="H14" s="76">
        <f>H15+H34+H35+H37+H47</f>
        <v>11424573</v>
      </c>
      <c r="I14" s="76">
        <f>I15+I34+I35+I37+I47</f>
        <v>7990664.7000000002</v>
      </c>
      <c r="J14" s="76"/>
      <c r="K14" s="76"/>
      <c r="L14" s="76">
        <f>L15+L34+L35+L37+L47</f>
        <v>11690664.699999999</v>
      </c>
      <c r="M14" s="76">
        <f>M15+M34+M35+M37+M47</f>
        <v>11772700</v>
      </c>
      <c r="N14" s="76">
        <f t="shared" ref="N14:N37" si="1">M14-L14</f>
        <v>82035.300000000745</v>
      </c>
      <c r="O14" s="76">
        <f t="shared" ref="O14:O19" si="2">M14/L14*100</f>
        <v>100.70171630189687</v>
      </c>
      <c r="P14" s="76">
        <f t="shared" ref="P14:U14" si="3">P15+P34+P35+P37+P47</f>
        <v>10914147</v>
      </c>
      <c r="Q14" s="76">
        <f t="shared" si="3"/>
        <v>-4712250</v>
      </c>
      <c r="R14" s="76">
        <f t="shared" si="3"/>
        <v>6201897</v>
      </c>
      <c r="S14" s="76">
        <f t="shared" si="3"/>
        <v>1012250</v>
      </c>
      <c r="T14" s="76">
        <f t="shared" si="3"/>
        <v>617020</v>
      </c>
      <c r="U14" s="76">
        <f t="shared" si="3"/>
        <v>-917020</v>
      </c>
      <c r="V14" s="76"/>
      <c r="W14" s="76"/>
      <c r="X14" s="76">
        <f>X15+X34+X35+X37+X47</f>
        <v>6914147</v>
      </c>
      <c r="Y14" s="76"/>
      <c r="Z14" s="76">
        <f>Z15+Z34+Z35+Z37+Z47</f>
        <v>9336831.6999999993</v>
      </c>
      <c r="AA14" s="76"/>
      <c r="AB14" s="76"/>
      <c r="AC14" s="76"/>
      <c r="AD14" s="76">
        <f t="shared" ref="AD14:AD19" si="4">SUM(Z14:AB14)</f>
        <v>9336831.6999999993</v>
      </c>
      <c r="AE14" s="76">
        <f t="shared" ref="AE14:AI14" si="5">AE15+AE34+AE35+AE37+AE47</f>
        <v>10127085.799999999</v>
      </c>
      <c r="AF14" s="76">
        <f t="shared" si="5"/>
        <v>57591.299999999974</v>
      </c>
      <c r="AG14" s="76">
        <f t="shared" si="5"/>
        <v>-1552035</v>
      </c>
      <c r="AH14" s="76">
        <f t="shared" si="5"/>
        <v>8632642.0999999996</v>
      </c>
      <c r="AI14" s="75">
        <f t="shared" si="5"/>
        <v>11529891.800000001</v>
      </c>
      <c r="AJ14" s="75">
        <f>AJ15+AJ34+AJ35+AJ37+AJ47</f>
        <v>10036727.084999999</v>
      </c>
      <c r="AK14" s="97">
        <f>AK15+AK34+AK35+AK37+AK47</f>
        <v>9836267.5999999996</v>
      </c>
      <c r="AL14" s="73">
        <f>AL15+AL34+AL35+AL37+AL47</f>
        <v>9836267.5999999996</v>
      </c>
      <c r="AM14" s="92"/>
    </row>
    <row r="15" spans="1:40" s="2" customFormat="1" ht="10.199999999999999" x14ac:dyDescent="0.2">
      <c r="A15" s="3"/>
      <c r="B15" s="77" t="s">
        <v>307</v>
      </c>
      <c r="C15" s="76">
        <f>C16+C20+C29</f>
        <v>105348003.09999999</v>
      </c>
      <c r="D15" s="76">
        <f t="shared" si="0"/>
        <v>8779000.2583333328</v>
      </c>
      <c r="E15" s="76">
        <f>E16+E20+E29</f>
        <v>5663720</v>
      </c>
      <c r="F15" s="76">
        <f>F16+F20+F29</f>
        <v>9188190</v>
      </c>
      <c r="G15" s="76">
        <f>G16+G20+G29</f>
        <v>6801000</v>
      </c>
      <c r="H15" s="76">
        <f>H16+H20+H29</f>
        <v>7252964.7000000002</v>
      </c>
      <c r="I15" s="76">
        <f>I16+I20+I29</f>
        <v>7252964.7000000002</v>
      </c>
      <c r="J15" s="76"/>
      <c r="K15" s="76"/>
      <c r="L15" s="76">
        <f>L16+L20+L29</f>
        <v>10952964.699999999</v>
      </c>
      <c r="M15" s="76">
        <f>M16+M20+M29</f>
        <v>10676000</v>
      </c>
      <c r="N15" s="76">
        <f t="shared" si="1"/>
        <v>-276964.69999999925</v>
      </c>
      <c r="O15" s="76">
        <f t="shared" si="2"/>
        <v>97.471326644556797</v>
      </c>
      <c r="P15" s="76">
        <f t="shared" ref="P15:U15" si="6">P16+P20+P29</f>
        <v>10042678.800000001</v>
      </c>
      <c r="Q15" s="76">
        <f t="shared" si="6"/>
        <v>-4712250</v>
      </c>
      <c r="R15" s="76">
        <f t="shared" si="6"/>
        <v>5330428.8</v>
      </c>
      <c r="S15" s="76">
        <f t="shared" si="6"/>
        <v>1012250</v>
      </c>
      <c r="T15" s="76">
        <f t="shared" si="6"/>
        <v>0</v>
      </c>
      <c r="U15" s="76">
        <f t="shared" si="6"/>
        <v>-300000</v>
      </c>
      <c r="V15" s="76"/>
      <c r="W15" s="76"/>
      <c r="X15" s="76">
        <f>X16+X20+X29</f>
        <v>6042678.7999999998</v>
      </c>
      <c r="Y15" s="76"/>
      <c r="Z15" s="76">
        <f>Z16+Z20+Z29</f>
        <v>8203853.7999999998</v>
      </c>
      <c r="AA15" s="76"/>
      <c r="AB15" s="76"/>
      <c r="AC15" s="76"/>
      <c r="AD15" s="76">
        <f t="shared" si="4"/>
        <v>8203853.7999999998</v>
      </c>
      <c r="AE15" s="76">
        <f t="shared" ref="AE15:AI15" si="7">AE16+AE20+AE29</f>
        <v>8385077.0999999996</v>
      </c>
      <c r="AF15" s="76">
        <f t="shared" si="7"/>
        <v>48569.2</v>
      </c>
      <c r="AG15" s="76">
        <f t="shared" si="7"/>
        <v>-1862734</v>
      </c>
      <c r="AH15" s="76">
        <f t="shared" si="7"/>
        <v>6570912.2999999998</v>
      </c>
      <c r="AI15" s="75">
        <f t="shared" si="7"/>
        <v>6806512</v>
      </c>
      <c r="AJ15" s="75">
        <f>AJ16+AJ20+AJ29</f>
        <v>8643465.5999999996</v>
      </c>
      <c r="AK15" s="97">
        <f>AK16+AK20+AK29</f>
        <v>8978875.8000000007</v>
      </c>
      <c r="AL15" s="73">
        <f>AL16+AL20+AL29</f>
        <v>8978875.8000000007</v>
      </c>
    </row>
    <row r="16" spans="1:40" s="2" customFormat="1" ht="10.199999999999999" x14ac:dyDescent="0.2">
      <c r="A16" s="3"/>
      <c r="B16" s="77" t="s">
        <v>306</v>
      </c>
      <c r="C16" s="76">
        <f>C17+C19</f>
        <v>92937702.799999997</v>
      </c>
      <c r="D16" s="76">
        <f t="shared" si="0"/>
        <v>7744808.5666666664</v>
      </c>
      <c r="E16" s="76">
        <f>E17+E19</f>
        <v>5262830</v>
      </c>
      <c r="F16" s="76">
        <f>F17+F19</f>
        <v>5891230</v>
      </c>
      <c r="G16" s="76">
        <f>G17+G19</f>
        <v>5172500</v>
      </c>
      <c r="H16" s="76">
        <f>H17+H19</f>
        <v>6977041</v>
      </c>
      <c r="I16" s="76">
        <f>I17+I19</f>
        <v>6977041</v>
      </c>
      <c r="J16" s="76"/>
      <c r="K16" s="76"/>
      <c r="L16" s="76">
        <f>L17+L19</f>
        <v>6977041</v>
      </c>
      <c r="M16" s="76">
        <f>M17+M19</f>
        <v>6024700</v>
      </c>
      <c r="N16" s="76">
        <f t="shared" si="1"/>
        <v>-952341</v>
      </c>
      <c r="O16" s="76">
        <f t="shared" si="2"/>
        <v>86.350359701197107</v>
      </c>
      <c r="P16" s="76">
        <f t="shared" ref="P16:U16" si="8">P17+P19</f>
        <v>6124546</v>
      </c>
      <c r="Q16" s="76">
        <f t="shared" si="8"/>
        <v>-1012250</v>
      </c>
      <c r="R16" s="76">
        <f t="shared" si="8"/>
        <v>5112296</v>
      </c>
      <c r="S16" s="76">
        <f t="shared" si="8"/>
        <v>1012250</v>
      </c>
      <c r="T16" s="76">
        <f t="shared" si="8"/>
        <v>0</v>
      </c>
      <c r="U16" s="76">
        <f t="shared" si="8"/>
        <v>-300000</v>
      </c>
      <c r="V16" s="76"/>
      <c r="W16" s="76"/>
      <c r="X16" s="76">
        <f>X17+X19</f>
        <v>5824546</v>
      </c>
      <c r="Y16" s="76"/>
      <c r="Z16" s="76">
        <f>Z17+Z19</f>
        <v>7488579</v>
      </c>
      <c r="AA16" s="76"/>
      <c r="AB16" s="76"/>
      <c r="AC16" s="76"/>
      <c r="AD16" s="76">
        <f t="shared" si="4"/>
        <v>7488579</v>
      </c>
      <c r="AE16" s="76">
        <f>AE17+AE19</f>
        <v>7259608</v>
      </c>
      <c r="AF16" s="76"/>
      <c r="AG16" s="76">
        <f t="shared" ref="AG16:AL16" si="9">AG17+AG19</f>
        <v>-952734</v>
      </c>
      <c r="AH16" s="76">
        <f t="shared" si="9"/>
        <v>6306874</v>
      </c>
      <c r="AI16" s="76">
        <f t="shared" si="9"/>
        <v>6460144</v>
      </c>
      <c r="AJ16" s="75">
        <f t="shared" si="9"/>
        <v>8205996.5</v>
      </c>
      <c r="AK16" s="97">
        <f t="shared" si="9"/>
        <v>8500438.9000000004</v>
      </c>
      <c r="AL16" s="73">
        <f t="shared" si="9"/>
        <v>8500438.9000000004</v>
      </c>
    </row>
    <row r="17" spans="1:38" s="2" customFormat="1" ht="10.199999999999999" x14ac:dyDescent="0.2">
      <c r="A17" s="3"/>
      <c r="B17" s="72" t="s">
        <v>305</v>
      </c>
      <c r="C17" s="43">
        <v>60761602.799999997</v>
      </c>
      <c r="D17" s="43">
        <f t="shared" si="0"/>
        <v>5063466.8999999994</v>
      </c>
      <c r="E17" s="43">
        <v>3710800</v>
      </c>
      <c r="F17" s="43">
        <v>4075590</v>
      </c>
      <c r="G17" s="43">
        <v>2422400</v>
      </c>
      <c r="H17" s="43">
        <v>4728404</v>
      </c>
      <c r="I17" s="43">
        <v>4728404</v>
      </c>
      <c r="J17" s="43"/>
      <c r="K17" s="43"/>
      <c r="L17" s="43">
        <f t="shared" ref="L17:L28" si="10">I17</f>
        <v>4728404</v>
      </c>
      <c r="M17" s="43">
        <v>3629900</v>
      </c>
      <c r="N17" s="43">
        <f t="shared" si="1"/>
        <v>-1098504</v>
      </c>
      <c r="O17" s="43">
        <f t="shared" si="2"/>
        <v>76.767974986908911</v>
      </c>
      <c r="P17" s="43">
        <v>3958273</v>
      </c>
      <c r="Q17" s="43">
        <v>-1012250</v>
      </c>
      <c r="R17" s="43">
        <f t="shared" ref="R17:R47" si="11">SUM(P17:Q17)</f>
        <v>2946023</v>
      </c>
      <c r="S17" s="43">
        <v>1012250</v>
      </c>
      <c r="T17" s="43"/>
      <c r="U17" s="43">
        <v>-500000</v>
      </c>
      <c r="V17" s="43"/>
      <c r="W17" s="43"/>
      <c r="X17" s="43">
        <f>SUM(R17:U17)</f>
        <v>3458273</v>
      </c>
      <c r="Y17" s="43"/>
      <c r="Z17" s="43">
        <v>5102707</v>
      </c>
      <c r="AA17" s="43"/>
      <c r="AB17" s="43"/>
      <c r="AC17" s="43"/>
      <c r="AD17" s="43">
        <f t="shared" si="4"/>
        <v>5102707</v>
      </c>
      <c r="AE17" s="43">
        <v>4979919</v>
      </c>
      <c r="AF17" s="43"/>
      <c r="AG17" s="43">
        <v>-952734</v>
      </c>
      <c r="AH17" s="43">
        <f>AE17+AF17+AG17</f>
        <v>4027185</v>
      </c>
      <c r="AI17" s="71">
        <v>3810144</v>
      </c>
      <c r="AJ17" s="70">
        <v>5255996.5</v>
      </c>
      <c r="AK17" s="98">
        <v>5220438.9000000004</v>
      </c>
      <c r="AL17" s="12">
        <v>5220438.9000000004</v>
      </c>
    </row>
    <row r="18" spans="1:38" s="2" customFormat="1" ht="10.199999999999999" x14ac:dyDescent="0.2">
      <c r="A18" s="3"/>
      <c r="B18" s="72" t="s">
        <v>304</v>
      </c>
      <c r="C18" s="43">
        <v>5363000</v>
      </c>
      <c r="D18" s="43">
        <f t="shared" si="0"/>
        <v>446916.66666666669</v>
      </c>
      <c r="E18" s="43">
        <v>409920</v>
      </c>
      <c r="F18" s="43">
        <v>248470</v>
      </c>
      <c r="G18" s="43">
        <v>475600</v>
      </c>
      <c r="H18" s="43">
        <v>429730</v>
      </c>
      <c r="I18" s="43">
        <v>429730</v>
      </c>
      <c r="J18" s="43"/>
      <c r="K18" s="43"/>
      <c r="L18" s="43">
        <f t="shared" si="10"/>
        <v>429730</v>
      </c>
      <c r="M18" s="43">
        <v>459700</v>
      </c>
      <c r="N18" s="43">
        <f t="shared" si="1"/>
        <v>29970</v>
      </c>
      <c r="O18" s="43">
        <f t="shared" si="2"/>
        <v>106.97414655714053</v>
      </c>
      <c r="P18" s="43">
        <v>161650</v>
      </c>
      <c r="Q18" s="43"/>
      <c r="R18" s="43">
        <f t="shared" si="11"/>
        <v>161650</v>
      </c>
      <c r="S18" s="43"/>
      <c r="T18" s="43"/>
      <c r="U18" s="43"/>
      <c r="V18" s="43"/>
      <c r="W18" s="43"/>
      <c r="X18" s="43">
        <f>SUM(R18:U18)</f>
        <v>161650</v>
      </c>
      <c r="Y18" s="43"/>
      <c r="Z18" s="43">
        <v>444530</v>
      </c>
      <c r="AA18" s="43"/>
      <c r="AB18" s="43"/>
      <c r="AC18" s="43"/>
      <c r="AD18" s="43">
        <f t="shared" si="4"/>
        <v>444530</v>
      </c>
      <c r="AE18" s="43">
        <v>191961</v>
      </c>
      <c r="AF18" s="43"/>
      <c r="AG18" s="43"/>
      <c r="AH18" s="43">
        <f>AE18+AF18</f>
        <v>191961</v>
      </c>
      <c r="AI18" s="71">
        <v>191958</v>
      </c>
      <c r="AJ18" s="70">
        <v>446661</v>
      </c>
      <c r="AK18" s="98">
        <v>444534</v>
      </c>
      <c r="AL18" s="12">
        <v>444534</v>
      </c>
    </row>
    <row r="19" spans="1:38" s="2" customFormat="1" ht="10.199999999999999" x14ac:dyDescent="0.2">
      <c r="A19" s="3"/>
      <c r="B19" s="72" t="s">
        <v>303</v>
      </c>
      <c r="C19" s="43">
        <v>32176100</v>
      </c>
      <c r="D19" s="43">
        <f t="shared" si="0"/>
        <v>2681341.6666666665</v>
      </c>
      <c r="E19" s="43">
        <v>1552030</v>
      </c>
      <c r="F19" s="43">
        <v>1815640</v>
      </c>
      <c r="G19" s="43">
        <v>2750100</v>
      </c>
      <c r="H19" s="43">
        <v>2248637</v>
      </c>
      <c r="I19" s="43">
        <v>2248637</v>
      </c>
      <c r="J19" s="43"/>
      <c r="K19" s="43"/>
      <c r="L19" s="43">
        <f t="shared" si="10"/>
        <v>2248637</v>
      </c>
      <c r="M19" s="43">
        <v>2394800</v>
      </c>
      <c r="N19" s="43">
        <f t="shared" si="1"/>
        <v>146163</v>
      </c>
      <c r="O19" s="43">
        <f t="shared" si="2"/>
        <v>106.50007093185782</v>
      </c>
      <c r="P19" s="43">
        <v>2166273</v>
      </c>
      <c r="Q19" s="43"/>
      <c r="R19" s="43">
        <f t="shared" si="11"/>
        <v>2166273</v>
      </c>
      <c r="S19" s="43"/>
      <c r="T19" s="43"/>
      <c r="U19" s="43">
        <v>200000</v>
      </c>
      <c r="V19" s="43"/>
      <c r="W19" s="43"/>
      <c r="X19" s="43">
        <f>SUM(R19:U19)</f>
        <v>2366273</v>
      </c>
      <c r="Y19" s="43"/>
      <c r="Z19" s="43">
        <v>2385872</v>
      </c>
      <c r="AA19" s="43"/>
      <c r="AB19" s="43"/>
      <c r="AC19" s="43"/>
      <c r="AD19" s="43">
        <f t="shared" si="4"/>
        <v>2385872</v>
      </c>
      <c r="AE19" s="43">
        <v>2279689</v>
      </c>
      <c r="AF19" s="43"/>
      <c r="AG19" s="43"/>
      <c r="AH19" s="43">
        <f>AE19+AF19</f>
        <v>2279689</v>
      </c>
      <c r="AI19" s="71">
        <v>2650000</v>
      </c>
      <c r="AJ19" s="70">
        <v>2950000</v>
      </c>
      <c r="AK19" s="98">
        <v>3280000</v>
      </c>
      <c r="AL19" s="12">
        <v>3280000</v>
      </c>
    </row>
    <row r="20" spans="1:38" s="2" customFormat="1" ht="10.199999999999999" x14ac:dyDescent="0.2">
      <c r="A20" s="3"/>
      <c r="B20" s="77" t="s">
        <v>302</v>
      </c>
      <c r="C20" s="76">
        <f>SUM(C21:C28)</f>
        <v>2593944</v>
      </c>
      <c r="D20" s="76">
        <f t="shared" si="0"/>
        <v>216162</v>
      </c>
      <c r="E20" s="76"/>
      <c r="F20" s="76">
        <f>SUM(F21:F28)</f>
        <v>3032930</v>
      </c>
      <c r="G20" s="76"/>
      <c r="H20" s="76"/>
      <c r="I20" s="76"/>
      <c r="J20" s="76"/>
      <c r="K20" s="76"/>
      <c r="L20" s="43">
        <f t="shared" si="10"/>
        <v>0</v>
      </c>
      <c r="M20" s="43"/>
      <c r="N20" s="43">
        <f t="shared" si="1"/>
        <v>0</v>
      </c>
      <c r="O20" s="43"/>
      <c r="P20" s="43"/>
      <c r="Q20" s="43"/>
      <c r="R20" s="43">
        <f t="shared" si="11"/>
        <v>0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71"/>
      <c r="AJ20" s="70"/>
      <c r="AK20" s="98"/>
      <c r="AL20" s="12"/>
    </row>
    <row r="21" spans="1:38" s="2" customFormat="1" ht="10.199999999999999" x14ac:dyDescent="0.2">
      <c r="A21" s="3"/>
      <c r="B21" s="72" t="s">
        <v>301</v>
      </c>
      <c r="C21" s="43">
        <v>1283040</v>
      </c>
      <c r="D21" s="43">
        <f t="shared" si="0"/>
        <v>106920</v>
      </c>
      <c r="E21" s="43"/>
      <c r="F21" s="43">
        <v>354400</v>
      </c>
      <c r="G21" s="43"/>
      <c r="H21" s="43"/>
      <c r="I21" s="43"/>
      <c r="J21" s="43"/>
      <c r="K21" s="43"/>
      <c r="L21" s="43">
        <f t="shared" si="10"/>
        <v>0</v>
      </c>
      <c r="M21" s="43"/>
      <c r="N21" s="43">
        <f t="shared" si="1"/>
        <v>0</v>
      </c>
      <c r="O21" s="43"/>
      <c r="P21" s="43"/>
      <c r="Q21" s="43"/>
      <c r="R21" s="43">
        <f t="shared" si="11"/>
        <v>0</v>
      </c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71"/>
      <c r="AJ21" s="70"/>
      <c r="AK21" s="98"/>
      <c r="AL21" s="12"/>
    </row>
    <row r="22" spans="1:38" s="2" customFormat="1" ht="10.199999999999999" x14ac:dyDescent="0.2">
      <c r="A22" s="3"/>
      <c r="B22" s="72" t="s">
        <v>300</v>
      </c>
      <c r="C22" s="43"/>
      <c r="D22" s="43">
        <f t="shared" si="0"/>
        <v>0</v>
      </c>
      <c r="E22" s="43"/>
      <c r="F22" s="43"/>
      <c r="G22" s="43"/>
      <c r="H22" s="43"/>
      <c r="I22" s="43"/>
      <c r="J22" s="43"/>
      <c r="K22" s="43"/>
      <c r="L22" s="43">
        <f t="shared" si="10"/>
        <v>0</v>
      </c>
      <c r="M22" s="43"/>
      <c r="N22" s="43">
        <f t="shared" si="1"/>
        <v>0</v>
      </c>
      <c r="O22" s="43"/>
      <c r="P22" s="43"/>
      <c r="Q22" s="43"/>
      <c r="R22" s="43">
        <f t="shared" si="11"/>
        <v>0</v>
      </c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71"/>
      <c r="AJ22" s="70"/>
      <c r="AK22" s="98"/>
      <c r="AL22" s="12"/>
    </row>
    <row r="23" spans="1:38" s="2" customFormat="1" ht="10.199999999999999" x14ac:dyDescent="0.2">
      <c r="A23" s="3"/>
      <c r="B23" s="72" t="s">
        <v>299</v>
      </c>
      <c r="C23" s="43"/>
      <c r="D23" s="43"/>
      <c r="E23" s="43"/>
      <c r="F23" s="43">
        <v>409160</v>
      </c>
      <c r="G23" s="43"/>
      <c r="H23" s="43"/>
      <c r="I23" s="43"/>
      <c r="J23" s="43"/>
      <c r="K23" s="43"/>
      <c r="L23" s="43">
        <f t="shared" si="10"/>
        <v>0</v>
      </c>
      <c r="M23" s="43"/>
      <c r="N23" s="43">
        <f t="shared" si="1"/>
        <v>0</v>
      </c>
      <c r="O23" s="43"/>
      <c r="P23" s="43"/>
      <c r="Q23" s="43"/>
      <c r="R23" s="43">
        <f t="shared" si="11"/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71"/>
      <c r="AJ23" s="70"/>
      <c r="AK23" s="98"/>
      <c r="AL23" s="12"/>
    </row>
    <row r="24" spans="1:38" s="2" customFormat="1" ht="10.199999999999999" x14ac:dyDescent="0.2">
      <c r="A24" s="3"/>
      <c r="B24" s="72" t="s">
        <v>298</v>
      </c>
      <c r="C24" s="43"/>
      <c r="D24" s="43"/>
      <c r="E24" s="43"/>
      <c r="F24" s="43">
        <v>2232140</v>
      </c>
      <c r="G24" s="43"/>
      <c r="H24" s="43"/>
      <c r="I24" s="43"/>
      <c r="J24" s="43"/>
      <c r="K24" s="43"/>
      <c r="L24" s="43">
        <f t="shared" si="10"/>
        <v>0</v>
      </c>
      <c r="M24" s="43"/>
      <c r="N24" s="43">
        <f t="shared" si="1"/>
        <v>0</v>
      </c>
      <c r="O24" s="43"/>
      <c r="P24" s="43"/>
      <c r="Q24" s="43"/>
      <c r="R24" s="43">
        <f t="shared" si="11"/>
        <v>0</v>
      </c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71"/>
      <c r="AJ24" s="70"/>
      <c r="AK24" s="98"/>
      <c r="AL24" s="12"/>
    </row>
    <row r="25" spans="1:38" s="2" customFormat="1" ht="10.199999999999999" x14ac:dyDescent="0.2">
      <c r="A25" s="3"/>
      <c r="B25" s="72" t="s">
        <v>297</v>
      </c>
      <c r="C25" s="43">
        <v>611064</v>
      </c>
      <c r="D25" s="43">
        <f>C25/12</f>
        <v>50922</v>
      </c>
      <c r="E25" s="43"/>
      <c r="F25" s="43">
        <v>37230</v>
      </c>
      <c r="G25" s="43"/>
      <c r="H25" s="43"/>
      <c r="I25" s="43"/>
      <c r="J25" s="43"/>
      <c r="K25" s="43"/>
      <c r="L25" s="43">
        <f t="shared" si="10"/>
        <v>0</v>
      </c>
      <c r="M25" s="43"/>
      <c r="N25" s="43">
        <f t="shared" si="1"/>
        <v>0</v>
      </c>
      <c r="O25" s="43"/>
      <c r="P25" s="43"/>
      <c r="Q25" s="43"/>
      <c r="R25" s="43">
        <f t="shared" si="11"/>
        <v>0</v>
      </c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71"/>
      <c r="AJ25" s="70"/>
      <c r="AK25" s="98"/>
      <c r="AL25" s="12"/>
    </row>
    <row r="26" spans="1:38" s="2" customFormat="1" ht="10.199999999999999" x14ac:dyDescent="0.2">
      <c r="A26" s="3"/>
      <c r="B26" s="72" t="s">
        <v>296</v>
      </c>
      <c r="C26" s="43"/>
      <c r="D26" s="43">
        <f>C26/12</f>
        <v>0</v>
      </c>
      <c r="E26" s="43"/>
      <c r="F26" s="43"/>
      <c r="G26" s="43"/>
      <c r="H26" s="43"/>
      <c r="I26" s="43"/>
      <c r="J26" s="43"/>
      <c r="K26" s="43"/>
      <c r="L26" s="43">
        <f t="shared" si="10"/>
        <v>0</v>
      </c>
      <c r="M26" s="43"/>
      <c r="N26" s="43">
        <f t="shared" si="1"/>
        <v>0</v>
      </c>
      <c r="O26" s="43"/>
      <c r="P26" s="43"/>
      <c r="Q26" s="43"/>
      <c r="R26" s="43">
        <f t="shared" si="11"/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71"/>
      <c r="AJ26" s="70"/>
      <c r="AK26" s="98"/>
      <c r="AL26" s="12"/>
    </row>
    <row r="27" spans="1:38" s="2" customFormat="1" ht="20.399999999999999" x14ac:dyDescent="0.2">
      <c r="A27" s="3"/>
      <c r="B27" s="72" t="s">
        <v>295</v>
      </c>
      <c r="C27" s="43">
        <v>699840</v>
      </c>
      <c r="D27" s="43">
        <f>C27/12</f>
        <v>58320</v>
      </c>
      <c r="E27" s="43"/>
      <c r="F27" s="43"/>
      <c r="G27" s="43"/>
      <c r="H27" s="43"/>
      <c r="I27" s="43"/>
      <c r="J27" s="43"/>
      <c r="K27" s="43"/>
      <c r="L27" s="43">
        <f t="shared" si="10"/>
        <v>0</v>
      </c>
      <c r="M27" s="43"/>
      <c r="N27" s="43">
        <f t="shared" si="1"/>
        <v>0</v>
      </c>
      <c r="O27" s="43"/>
      <c r="P27" s="43"/>
      <c r="Q27" s="43"/>
      <c r="R27" s="43">
        <f t="shared" si="11"/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71"/>
      <c r="AJ27" s="70"/>
      <c r="AK27" s="98"/>
      <c r="AL27" s="12"/>
    </row>
    <row r="28" spans="1:38" s="2" customFormat="1" ht="20.399999999999999" x14ac:dyDescent="0.2">
      <c r="A28" s="3"/>
      <c r="B28" s="72" t="s">
        <v>294</v>
      </c>
      <c r="C28" s="43"/>
      <c r="D28" s="43"/>
      <c r="E28" s="43"/>
      <c r="F28" s="43"/>
      <c r="G28" s="43"/>
      <c r="H28" s="43"/>
      <c r="I28" s="43"/>
      <c r="J28" s="43"/>
      <c r="K28" s="43"/>
      <c r="L28" s="43">
        <f t="shared" si="10"/>
        <v>0</v>
      </c>
      <c r="M28" s="43"/>
      <c r="N28" s="43">
        <f t="shared" si="1"/>
        <v>0</v>
      </c>
      <c r="O28" s="43"/>
      <c r="P28" s="43"/>
      <c r="Q28" s="43"/>
      <c r="R28" s="43">
        <f t="shared" si="11"/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71"/>
      <c r="AJ28" s="70"/>
      <c r="AK28" s="98"/>
      <c r="AL28" s="12"/>
    </row>
    <row r="29" spans="1:38" s="2" customFormat="1" ht="10.199999999999999" x14ac:dyDescent="0.2">
      <c r="A29" s="3"/>
      <c r="B29" s="77" t="s">
        <v>293</v>
      </c>
      <c r="C29" s="76">
        <f>19832345-10015988.7</f>
        <v>9816356.3000000007</v>
      </c>
      <c r="D29" s="76">
        <f>C29/12</f>
        <v>818029.69166666677</v>
      </c>
      <c r="E29" s="76">
        <v>400890</v>
      </c>
      <c r="F29" s="76">
        <v>264030</v>
      </c>
      <c r="G29" s="76">
        <v>1628500</v>
      </c>
      <c r="H29" s="76">
        <f>1338665-1062741.3</f>
        <v>275923.69999999995</v>
      </c>
      <c r="I29" s="76">
        <v>275923.7</v>
      </c>
      <c r="J29" s="76"/>
      <c r="K29" s="76"/>
      <c r="L29" s="76">
        <f>I29+L31</f>
        <v>3975923.7</v>
      </c>
      <c r="M29" s="76">
        <v>4651300</v>
      </c>
      <c r="N29" s="76">
        <f t="shared" si="1"/>
        <v>675376.29999999981</v>
      </c>
      <c r="O29" s="76">
        <f>M29/L29*100</f>
        <v>116.9866514289497</v>
      </c>
      <c r="P29" s="76">
        <f>4715671.8-797539</f>
        <v>3918132.8</v>
      </c>
      <c r="Q29" s="76">
        <v>-3700000</v>
      </c>
      <c r="R29" s="76">
        <f t="shared" si="11"/>
        <v>218132.79999999981</v>
      </c>
      <c r="S29" s="76"/>
      <c r="T29" s="76"/>
      <c r="U29" s="76"/>
      <c r="V29" s="76"/>
      <c r="W29" s="76"/>
      <c r="X29" s="76">
        <f t="shared" ref="X29:X39" si="12">SUM(R29:U29)</f>
        <v>218132.79999999981</v>
      </c>
      <c r="Y29" s="76"/>
      <c r="Z29" s="76">
        <f>1512813.8-797539</f>
        <v>715274.8</v>
      </c>
      <c r="AA29" s="76"/>
      <c r="AB29" s="76"/>
      <c r="AC29" s="76"/>
      <c r="AD29" s="76">
        <f t="shared" ref="AD29:AD39" si="13">SUM(Z29:AB29)</f>
        <v>715274.8</v>
      </c>
      <c r="AE29" s="76">
        <f>1947175.3-821706.2</f>
        <v>1125469.1000000001</v>
      </c>
      <c r="AF29" s="76">
        <f>AF33</f>
        <v>48569.2</v>
      </c>
      <c r="AG29" s="76">
        <v>-910000</v>
      </c>
      <c r="AH29" s="76">
        <f>AE29+AF29+AG29</f>
        <v>264038.30000000005</v>
      </c>
      <c r="AI29" s="75">
        <v>346368</v>
      </c>
      <c r="AJ29" s="75">
        <v>437469.1</v>
      </c>
      <c r="AK29" s="97">
        <f>1272747.9-794311</f>
        <v>478436.89999999991</v>
      </c>
      <c r="AL29" s="73">
        <f>1272747.9-794311</f>
        <v>478436.89999999991</v>
      </c>
    </row>
    <row r="30" spans="1:38" s="2" customFormat="1" ht="20.399999999999999" x14ac:dyDescent="0.2">
      <c r="A30" s="3"/>
      <c r="B30" s="72" t="s">
        <v>292</v>
      </c>
      <c r="C30" s="43">
        <v>1550838.9</v>
      </c>
      <c r="D30" s="43">
        <f>C30/12</f>
        <v>129236.575</v>
      </c>
      <c r="E30" s="43">
        <v>11000</v>
      </c>
      <c r="F30" s="43">
        <v>500</v>
      </c>
      <c r="G30" s="43"/>
      <c r="H30" s="43"/>
      <c r="I30" s="43"/>
      <c r="J30" s="43"/>
      <c r="K30" s="43"/>
      <c r="L30" s="43">
        <f>I30</f>
        <v>0</v>
      </c>
      <c r="M30" s="43">
        <v>51500</v>
      </c>
      <c r="N30" s="43">
        <f t="shared" si="1"/>
        <v>51500</v>
      </c>
      <c r="O30" s="43"/>
      <c r="P30" s="43"/>
      <c r="Q30" s="43"/>
      <c r="R30" s="43">
        <f t="shared" si="11"/>
        <v>0</v>
      </c>
      <c r="S30" s="43"/>
      <c r="T30" s="43"/>
      <c r="U30" s="43"/>
      <c r="V30" s="43"/>
      <c r="W30" s="43"/>
      <c r="X30" s="43">
        <f t="shared" si="12"/>
        <v>0</v>
      </c>
      <c r="Y30" s="43"/>
      <c r="Z30" s="43">
        <v>500000</v>
      </c>
      <c r="AA30" s="43"/>
      <c r="AB30" s="43"/>
      <c r="AC30" s="43"/>
      <c r="AD30" s="43">
        <f t="shared" si="13"/>
        <v>500000</v>
      </c>
      <c r="AE30" s="43"/>
      <c r="AF30" s="43"/>
      <c r="AG30" s="43"/>
      <c r="AH30" s="43">
        <f t="shared" ref="AH30:AH36" si="14">AE30+AF30</f>
        <v>0</v>
      </c>
      <c r="AI30" s="71">
        <v>172600</v>
      </c>
      <c r="AJ30" s="93">
        <v>183600</v>
      </c>
      <c r="AK30" s="99">
        <v>183638.9</v>
      </c>
      <c r="AL30" s="39">
        <v>183638.9</v>
      </c>
    </row>
    <row r="31" spans="1:38" s="2" customFormat="1" ht="10.199999999999999" x14ac:dyDescent="0.2">
      <c r="A31" s="3"/>
      <c r="B31" s="72" t="s">
        <v>291</v>
      </c>
      <c r="C31" s="43">
        <v>3700000</v>
      </c>
      <c r="D31" s="43">
        <f>C31/12</f>
        <v>308333.33333333331</v>
      </c>
      <c r="E31" s="43"/>
      <c r="F31" s="43"/>
      <c r="G31" s="43"/>
      <c r="H31" s="43"/>
      <c r="I31" s="43"/>
      <c r="J31" s="43"/>
      <c r="K31" s="43"/>
      <c r="L31" s="43">
        <v>3700000</v>
      </c>
      <c r="M31" s="43">
        <v>4579800</v>
      </c>
      <c r="N31" s="43">
        <f t="shared" si="1"/>
        <v>879800</v>
      </c>
      <c r="O31" s="43">
        <f>M31/L31*100</f>
        <v>123.77837837837838</v>
      </c>
      <c r="P31" s="43">
        <v>3700000</v>
      </c>
      <c r="Q31" s="43">
        <v>-3700000</v>
      </c>
      <c r="R31" s="43">
        <f t="shared" si="11"/>
        <v>0</v>
      </c>
      <c r="S31" s="43"/>
      <c r="T31" s="43"/>
      <c r="U31" s="43"/>
      <c r="V31" s="43"/>
      <c r="W31" s="43"/>
      <c r="X31" s="43">
        <f t="shared" si="12"/>
        <v>0</v>
      </c>
      <c r="Y31" s="43"/>
      <c r="Z31" s="43"/>
      <c r="AA31" s="43"/>
      <c r="AB31" s="43"/>
      <c r="AC31" s="43"/>
      <c r="AD31" s="43">
        <f t="shared" si="13"/>
        <v>0</v>
      </c>
      <c r="AE31" s="43">
        <f>SUM(Y31:AB31)</f>
        <v>0</v>
      </c>
      <c r="AF31" s="43"/>
      <c r="AG31" s="43"/>
      <c r="AH31" s="43">
        <f t="shared" si="14"/>
        <v>0</v>
      </c>
      <c r="AI31" s="71"/>
      <c r="AJ31" s="70">
        <v>0</v>
      </c>
      <c r="AK31" s="98">
        <v>0</v>
      </c>
      <c r="AL31" s="12">
        <v>0</v>
      </c>
    </row>
    <row r="32" spans="1:38" s="2" customFormat="1" ht="10.199999999999999" x14ac:dyDescent="0.2">
      <c r="A32" s="3"/>
      <c r="B32" s="72" t="s">
        <v>290</v>
      </c>
      <c r="C32" s="43">
        <v>506603.6</v>
      </c>
      <c r="D32" s="43">
        <f>C32/12</f>
        <v>42216.966666666667</v>
      </c>
      <c r="E32" s="43">
        <v>17990</v>
      </c>
      <c r="F32" s="43">
        <v>7160</v>
      </c>
      <c r="G32" s="43">
        <v>24600</v>
      </c>
      <c r="H32" s="43"/>
      <c r="I32" s="43"/>
      <c r="J32" s="43"/>
      <c r="K32" s="43"/>
      <c r="L32" s="43">
        <f t="shared" ref="L32:L47" si="15">I32</f>
        <v>0</v>
      </c>
      <c r="M32" s="43">
        <v>8600</v>
      </c>
      <c r="N32" s="43">
        <f t="shared" si="1"/>
        <v>8600</v>
      </c>
      <c r="O32" s="43"/>
      <c r="P32" s="43">
        <v>17000</v>
      </c>
      <c r="Q32" s="43"/>
      <c r="R32" s="43">
        <f t="shared" si="11"/>
        <v>17000</v>
      </c>
      <c r="S32" s="43"/>
      <c r="T32" s="43"/>
      <c r="U32" s="43"/>
      <c r="V32" s="43"/>
      <c r="W32" s="43"/>
      <c r="X32" s="43">
        <f t="shared" si="12"/>
        <v>17000</v>
      </c>
      <c r="Y32" s="43"/>
      <c r="Z32" s="43">
        <v>17000</v>
      </c>
      <c r="AA32" s="43"/>
      <c r="AB32" s="43"/>
      <c r="AC32" s="43"/>
      <c r="AD32" s="43">
        <f t="shared" si="13"/>
        <v>17000</v>
      </c>
      <c r="AE32" s="43">
        <v>17000</v>
      </c>
      <c r="AF32" s="43"/>
      <c r="AG32" s="43"/>
      <c r="AH32" s="43">
        <f t="shared" si="14"/>
        <v>17000</v>
      </c>
      <c r="AI32" s="71">
        <v>50000</v>
      </c>
      <c r="AJ32" s="70">
        <v>50000</v>
      </c>
      <c r="AK32" s="98">
        <v>50000</v>
      </c>
      <c r="AL32" s="12">
        <v>50000</v>
      </c>
    </row>
    <row r="33" spans="1:38" s="2" customFormat="1" ht="20.399999999999999" x14ac:dyDescent="0.2">
      <c r="A33" s="3"/>
      <c r="B33" s="72" t="s">
        <v>289</v>
      </c>
      <c r="C33" s="43">
        <v>1095408.8</v>
      </c>
      <c r="D33" s="43">
        <f>C33/12</f>
        <v>91284.066666666666</v>
      </c>
      <c r="E33" s="43">
        <v>110730</v>
      </c>
      <c r="F33" s="43">
        <v>105460</v>
      </c>
      <c r="G33" s="43">
        <v>48400</v>
      </c>
      <c r="H33" s="43">
        <v>79976.7</v>
      </c>
      <c r="I33" s="43">
        <v>79976.7</v>
      </c>
      <c r="J33" s="43"/>
      <c r="K33" s="43"/>
      <c r="L33" s="43">
        <f t="shared" si="15"/>
        <v>79976.7</v>
      </c>
      <c r="M33" s="43">
        <v>103200</v>
      </c>
      <c r="N33" s="43">
        <f t="shared" si="1"/>
        <v>23223.300000000003</v>
      </c>
      <c r="O33" s="43">
        <f>M33/L33*100</f>
        <v>129.03758219581454</v>
      </c>
      <c r="P33" s="43">
        <v>92312.8</v>
      </c>
      <c r="Q33" s="43"/>
      <c r="R33" s="43">
        <f t="shared" si="11"/>
        <v>92312.8</v>
      </c>
      <c r="S33" s="43"/>
      <c r="T33" s="43"/>
      <c r="U33" s="43"/>
      <c r="V33" s="43"/>
      <c r="W33" s="43"/>
      <c r="X33" s="43">
        <f t="shared" si="12"/>
        <v>92312.8</v>
      </c>
      <c r="Y33" s="43"/>
      <c r="Z33" s="43">
        <v>84430.8</v>
      </c>
      <c r="AA33" s="43"/>
      <c r="AB33" s="43"/>
      <c r="AC33" s="43"/>
      <c r="AD33" s="43">
        <f t="shared" si="13"/>
        <v>84430.8</v>
      </c>
      <c r="AE33" s="43">
        <v>81254.100000000006</v>
      </c>
      <c r="AF33" s="43">
        <f>129823.3-AE33</f>
        <v>48569.2</v>
      </c>
      <c r="AG33" s="43"/>
      <c r="AH33" s="43">
        <f t="shared" si="14"/>
        <v>129823.3</v>
      </c>
      <c r="AI33" s="71">
        <v>25000</v>
      </c>
      <c r="AJ33" s="70">
        <v>71576.100000000006</v>
      </c>
      <c r="AK33" s="98">
        <v>94959</v>
      </c>
      <c r="AL33" s="12">
        <v>94959</v>
      </c>
    </row>
    <row r="34" spans="1:38" s="2" customFormat="1" ht="10.199999999999999" x14ac:dyDescent="0.2">
      <c r="A34" s="3"/>
      <c r="B34" s="77" t="s">
        <v>288</v>
      </c>
      <c r="C34" s="76"/>
      <c r="D34" s="43"/>
      <c r="E34" s="76">
        <v>340</v>
      </c>
      <c r="F34" s="76"/>
      <c r="G34" s="76"/>
      <c r="H34" s="76"/>
      <c r="I34" s="76"/>
      <c r="J34" s="76"/>
      <c r="K34" s="76"/>
      <c r="L34" s="43">
        <f t="shared" si="15"/>
        <v>0</v>
      </c>
      <c r="M34" s="43"/>
      <c r="N34" s="43">
        <f t="shared" si="1"/>
        <v>0</v>
      </c>
      <c r="O34" s="43"/>
      <c r="P34" s="43"/>
      <c r="Q34" s="43"/>
      <c r="R34" s="43">
        <f t="shared" si="11"/>
        <v>0</v>
      </c>
      <c r="S34" s="43"/>
      <c r="T34" s="43"/>
      <c r="U34" s="43"/>
      <c r="V34" s="43"/>
      <c r="W34" s="43"/>
      <c r="X34" s="43">
        <f t="shared" si="12"/>
        <v>0</v>
      </c>
      <c r="Y34" s="43"/>
      <c r="Z34" s="43"/>
      <c r="AA34" s="43"/>
      <c r="AB34" s="43"/>
      <c r="AC34" s="43"/>
      <c r="AD34" s="43">
        <f t="shared" si="13"/>
        <v>0</v>
      </c>
      <c r="AE34" s="43">
        <f>SUM(Y34:AB34)</f>
        <v>0</v>
      </c>
      <c r="AF34" s="43"/>
      <c r="AG34" s="43"/>
      <c r="AH34" s="43">
        <f t="shared" si="14"/>
        <v>0</v>
      </c>
      <c r="AI34" s="71"/>
      <c r="AJ34" s="70">
        <v>0</v>
      </c>
      <c r="AK34" s="98">
        <v>0</v>
      </c>
      <c r="AL34" s="12">
        <v>0</v>
      </c>
    </row>
    <row r="35" spans="1:38" s="2" customFormat="1" ht="10.199999999999999" x14ac:dyDescent="0.2">
      <c r="A35" s="3"/>
      <c r="B35" s="77" t="s">
        <v>287</v>
      </c>
      <c r="C35" s="76">
        <v>4588365.4000000004</v>
      </c>
      <c r="D35" s="76">
        <f t="shared" ref="D35:D41" si="16">C35/12</f>
        <v>382363.78333333338</v>
      </c>
      <c r="E35" s="76">
        <v>258960</v>
      </c>
      <c r="F35" s="76">
        <v>310980</v>
      </c>
      <c r="G35" s="76">
        <v>191900</v>
      </c>
      <c r="H35" s="76">
        <v>237700</v>
      </c>
      <c r="I35" s="76">
        <v>237700</v>
      </c>
      <c r="J35" s="76"/>
      <c r="K35" s="76"/>
      <c r="L35" s="76">
        <f t="shared" si="15"/>
        <v>237700</v>
      </c>
      <c r="M35" s="76">
        <v>436500</v>
      </c>
      <c r="N35" s="76">
        <f t="shared" si="1"/>
        <v>198800</v>
      </c>
      <c r="O35" s="76">
        <f>M35/L35*100</f>
        <v>183.6348338241481</v>
      </c>
      <c r="P35" s="76">
        <v>121469.2</v>
      </c>
      <c r="Q35" s="76"/>
      <c r="R35" s="76">
        <f t="shared" si="11"/>
        <v>121469.2</v>
      </c>
      <c r="S35" s="76"/>
      <c r="T35" s="76">
        <f>T36</f>
        <v>133260</v>
      </c>
      <c r="U35" s="76">
        <f>U36</f>
        <v>-133260</v>
      </c>
      <c r="V35" s="76"/>
      <c r="W35" s="76"/>
      <c r="X35" s="76">
        <f t="shared" si="12"/>
        <v>121469.20000000001</v>
      </c>
      <c r="Y35" s="76"/>
      <c r="Z35" s="76">
        <v>132977.9</v>
      </c>
      <c r="AA35" s="76"/>
      <c r="AB35" s="76"/>
      <c r="AC35" s="76"/>
      <c r="AD35" s="76">
        <f t="shared" si="13"/>
        <v>132977.9</v>
      </c>
      <c r="AE35" s="76">
        <f>AE36</f>
        <v>149607.70000000001</v>
      </c>
      <c r="AF35" s="76">
        <f>AF36</f>
        <v>9022.0999999999767</v>
      </c>
      <c r="AG35" s="76"/>
      <c r="AH35" s="76">
        <f t="shared" si="14"/>
        <v>158629.79999999999</v>
      </c>
      <c r="AI35" s="75">
        <v>71300</v>
      </c>
      <c r="AJ35" s="75">
        <v>43595</v>
      </c>
      <c r="AK35" s="74">
        <v>108270.6</v>
      </c>
      <c r="AL35" s="73">
        <v>108270.6</v>
      </c>
    </row>
    <row r="36" spans="1:38" s="2" customFormat="1" ht="20.399999999999999" x14ac:dyDescent="0.2">
      <c r="A36" s="3"/>
      <c r="B36" s="72" t="s">
        <v>286</v>
      </c>
      <c r="C36" s="43">
        <v>1431802.8</v>
      </c>
      <c r="D36" s="43">
        <f t="shared" si="16"/>
        <v>119316.90000000001</v>
      </c>
      <c r="E36" s="43">
        <v>258960</v>
      </c>
      <c r="F36" s="43">
        <v>229850</v>
      </c>
      <c r="G36" s="43">
        <v>191900</v>
      </c>
      <c r="H36" s="43">
        <v>237700</v>
      </c>
      <c r="I36" s="43">
        <v>237700</v>
      </c>
      <c r="J36" s="43"/>
      <c r="K36" s="43"/>
      <c r="L36" s="43">
        <f t="shared" si="15"/>
        <v>237700</v>
      </c>
      <c r="M36" s="43">
        <v>436500</v>
      </c>
      <c r="N36" s="43">
        <f t="shared" si="1"/>
        <v>198800</v>
      </c>
      <c r="O36" s="43">
        <f>M36/L36*100</f>
        <v>183.6348338241481</v>
      </c>
      <c r="P36" s="43">
        <v>121469.2</v>
      </c>
      <c r="Q36" s="43"/>
      <c r="R36" s="43">
        <f t="shared" si="11"/>
        <v>121469.2</v>
      </c>
      <c r="S36" s="43"/>
      <c r="T36" s="43">
        <v>133260</v>
      </c>
      <c r="U36" s="43">
        <v>-133260</v>
      </c>
      <c r="V36" s="43"/>
      <c r="W36" s="43"/>
      <c r="X36" s="43">
        <f t="shared" si="12"/>
        <v>121469.20000000001</v>
      </c>
      <c r="Y36" s="43"/>
      <c r="Z36" s="43">
        <v>132977.9</v>
      </c>
      <c r="AA36" s="43"/>
      <c r="AB36" s="43"/>
      <c r="AC36" s="43"/>
      <c r="AD36" s="43">
        <f t="shared" si="13"/>
        <v>132977.9</v>
      </c>
      <c r="AE36" s="43">
        <v>149607.70000000001</v>
      </c>
      <c r="AF36" s="43">
        <f>158629.8-AE36</f>
        <v>9022.0999999999767</v>
      </c>
      <c r="AG36" s="43"/>
      <c r="AH36" s="43">
        <f t="shared" si="14"/>
        <v>158629.79999999999</v>
      </c>
      <c r="AI36" s="71">
        <v>71300</v>
      </c>
      <c r="AJ36" s="70">
        <v>43595</v>
      </c>
      <c r="AK36" s="100">
        <v>108270.6</v>
      </c>
      <c r="AL36" s="12">
        <v>108270.6</v>
      </c>
    </row>
    <row r="37" spans="1:38" s="2" customFormat="1" ht="10.199999999999999" x14ac:dyDescent="0.2">
      <c r="A37" s="3"/>
      <c r="B37" s="77" t="s">
        <v>285</v>
      </c>
      <c r="C37" s="76">
        <f>SUM(C38:C40)</f>
        <v>12647080</v>
      </c>
      <c r="D37" s="76">
        <f t="shared" si="16"/>
        <v>1053923.3333333333</v>
      </c>
      <c r="E37" s="76">
        <v>455750</v>
      </c>
      <c r="F37" s="76">
        <v>420490</v>
      </c>
      <c r="G37" s="76">
        <v>585600</v>
      </c>
      <c r="H37" s="76">
        <f>SUM(H38:H40)</f>
        <v>749908.3</v>
      </c>
      <c r="I37" s="76">
        <v>500000</v>
      </c>
      <c r="J37" s="76"/>
      <c r="K37" s="76"/>
      <c r="L37" s="76">
        <f t="shared" si="15"/>
        <v>500000</v>
      </c>
      <c r="M37" s="76">
        <v>660200</v>
      </c>
      <c r="N37" s="76">
        <f t="shared" si="1"/>
        <v>160200</v>
      </c>
      <c r="O37" s="76">
        <f>M37/L37*100</f>
        <v>132.04</v>
      </c>
      <c r="P37" s="76">
        <f>2858714.5-2108715.5</f>
        <v>749999</v>
      </c>
      <c r="Q37" s="76"/>
      <c r="R37" s="76">
        <f t="shared" si="11"/>
        <v>749999</v>
      </c>
      <c r="S37" s="76"/>
      <c r="T37" s="76">
        <v>483760</v>
      </c>
      <c r="U37" s="76">
        <v>-483760</v>
      </c>
      <c r="V37" s="76"/>
      <c r="W37" s="76"/>
      <c r="X37" s="76">
        <f t="shared" si="12"/>
        <v>749999</v>
      </c>
      <c r="Y37" s="76"/>
      <c r="Z37" s="76">
        <f>SUM(Z38:Z39)</f>
        <v>1000000</v>
      </c>
      <c r="AA37" s="76"/>
      <c r="AB37" s="76"/>
      <c r="AC37" s="76"/>
      <c r="AD37" s="76">
        <f t="shared" si="13"/>
        <v>1000000</v>
      </c>
      <c r="AE37" s="76">
        <f>SUM(AE38:AE39)+AE40</f>
        <v>1592401</v>
      </c>
      <c r="AF37" s="76"/>
      <c r="AG37" s="76">
        <v>310699</v>
      </c>
      <c r="AH37" s="76">
        <f>AE37+AF37+AG37</f>
        <v>1903100</v>
      </c>
      <c r="AI37" s="75">
        <f>AI38+AI39</f>
        <v>4652079.8</v>
      </c>
      <c r="AJ37" s="75">
        <f>AJ38+AJ39</f>
        <v>1349666.4849999999</v>
      </c>
      <c r="AK37" s="74">
        <f>AK38+AK39+AK40</f>
        <v>749121.2</v>
      </c>
      <c r="AL37" s="73">
        <f>AL38+AL39+AL40</f>
        <v>749121.2</v>
      </c>
    </row>
    <row r="38" spans="1:38" s="2" customFormat="1" ht="20.399999999999999" x14ac:dyDescent="0.2">
      <c r="A38" s="3"/>
      <c r="B38" s="72" t="s">
        <v>284</v>
      </c>
      <c r="C38" s="43">
        <v>4000000</v>
      </c>
      <c r="D38" s="43">
        <f t="shared" si="16"/>
        <v>333333.33333333331</v>
      </c>
      <c r="E38" s="43"/>
      <c r="F38" s="43"/>
      <c r="G38" s="43"/>
      <c r="H38" s="43">
        <v>338899.3</v>
      </c>
      <c r="I38" s="43">
        <v>200000</v>
      </c>
      <c r="J38" s="43"/>
      <c r="K38" s="43"/>
      <c r="L38" s="43">
        <f t="shared" si="15"/>
        <v>200000</v>
      </c>
      <c r="M38" s="43"/>
      <c r="N38" s="43"/>
      <c r="O38" s="43">
        <f>M38/L38*100</f>
        <v>0</v>
      </c>
      <c r="P38" s="43">
        <v>333333</v>
      </c>
      <c r="Q38" s="43"/>
      <c r="R38" s="43">
        <f t="shared" si="11"/>
        <v>333333</v>
      </c>
      <c r="S38" s="43"/>
      <c r="T38" s="43"/>
      <c r="U38" s="43"/>
      <c r="V38" s="43"/>
      <c r="W38" s="43"/>
      <c r="X38" s="43">
        <f t="shared" si="12"/>
        <v>333333</v>
      </c>
      <c r="Y38" s="43"/>
      <c r="Z38" s="43">
        <v>634053.6</v>
      </c>
      <c r="AA38" s="43"/>
      <c r="AB38" s="43"/>
      <c r="AC38" s="43"/>
      <c r="AD38" s="43">
        <f t="shared" si="13"/>
        <v>634053.6</v>
      </c>
      <c r="AE38" s="43">
        <v>333333</v>
      </c>
      <c r="AF38" s="43"/>
      <c r="AG38" s="43">
        <v>310699</v>
      </c>
      <c r="AH38" s="43">
        <f>AE38+AF38+AG38</f>
        <v>644032</v>
      </c>
      <c r="AI38" s="71">
        <v>699389.7</v>
      </c>
      <c r="AJ38" s="70">
        <v>521493.08100000001</v>
      </c>
      <c r="AK38" s="100">
        <v>335609.2</v>
      </c>
      <c r="AL38" s="12">
        <v>335609.2</v>
      </c>
    </row>
    <row r="39" spans="1:38" s="2" customFormat="1" ht="20.399999999999999" x14ac:dyDescent="0.2">
      <c r="A39" s="3"/>
      <c r="B39" s="72" t="s">
        <v>283</v>
      </c>
      <c r="C39" s="43">
        <v>6000000</v>
      </c>
      <c r="D39" s="43">
        <f t="shared" si="16"/>
        <v>500000</v>
      </c>
      <c r="E39" s="43"/>
      <c r="F39" s="43"/>
      <c r="G39" s="43"/>
      <c r="H39" s="43">
        <v>411009</v>
      </c>
      <c r="I39" s="43">
        <v>300000</v>
      </c>
      <c r="J39" s="43"/>
      <c r="K39" s="43"/>
      <c r="L39" s="43">
        <f t="shared" si="15"/>
        <v>300000</v>
      </c>
      <c r="M39" s="43"/>
      <c r="N39" s="43"/>
      <c r="O39" s="43">
        <f>M39/L39*100</f>
        <v>0</v>
      </c>
      <c r="P39" s="43">
        <v>416666</v>
      </c>
      <c r="Q39" s="43"/>
      <c r="R39" s="43">
        <f t="shared" si="11"/>
        <v>416666</v>
      </c>
      <c r="S39" s="43"/>
      <c r="T39" s="43"/>
      <c r="U39" s="43"/>
      <c r="V39" s="43"/>
      <c r="W39" s="43"/>
      <c r="X39" s="43">
        <f t="shared" si="12"/>
        <v>416666</v>
      </c>
      <c r="Y39" s="43"/>
      <c r="Z39" s="43">
        <v>365946.4</v>
      </c>
      <c r="AA39" s="43"/>
      <c r="AB39" s="43"/>
      <c r="AC39" s="43"/>
      <c r="AD39" s="43">
        <f t="shared" si="13"/>
        <v>365946.4</v>
      </c>
      <c r="AE39" s="43">
        <v>416668</v>
      </c>
      <c r="AF39" s="43"/>
      <c r="AG39" s="43"/>
      <c r="AH39" s="43">
        <f>AE39+AF39</f>
        <v>416668</v>
      </c>
      <c r="AI39" s="71">
        <v>3952690.1</v>
      </c>
      <c r="AJ39" s="70">
        <v>828173.40399999998</v>
      </c>
      <c r="AK39" s="100">
        <v>413512</v>
      </c>
      <c r="AL39" s="12">
        <v>413512</v>
      </c>
    </row>
    <row r="40" spans="1:38" s="2" customFormat="1" ht="10.199999999999999" x14ac:dyDescent="0.2">
      <c r="A40" s="3"/>
      <c r="B40" s="72" t="s">
        <v>282</v>
      </c>
      <c r="C40" s="43">
        <f>SUM(C41:C46)</f>
        <v>2647080</v>
      </c>
      <c r="D40" s="43">
        <f t="shared" si="16"/>
        <v>220590</v>
      </c>
      <c r="E40" s="43"/>
      <c r="F40" s="43"/>
      <c r="G40" s="43"/>
      <c r="H40" s="43"/>
      <c r="I40" s="43"/>
      <c r="J40" s="43"/>
      <c r="K40" s="43"/>
      <c r="L40" s="43">
        <f t="shared" si="15"/>
        <v>0</v>
      </c>
      <c r="M40" s="43"/>
      <c r="N40" s="43">
        <f t="shared" ref="N40:N47" si="17">M40-L40</f>
        <v>0</v>
      </c>
      <c r="O40" s="43"/>
      <c r="P40" s="43"/>
      <c r="Q40" s="43"/>
      <c r="R40" s="43">
        <f t="shared" si="11"/>
        <v>0</v>
      </c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>
        <f>AE41</f>
        <v>842400</v>
      </c>
      <c r="AF40" s="43"/>
      <c r="AG40" s="43"/>
      <c r="AH40" s="43">
        <f>AE40+AF40</f>
        <v>842400</v>
      </c>
      <c r="AI40" s="71">
        <v>842400</v>
      </c>
      <c r="AJ40" s="70"/>
      <c r="AK40" s="100"/>
      <c r="AL40" s="12"/>
    </row>
    <row r="41" spans="1:38" s="2" customFormat="1" ht="20.399999999999999" x14ac:dyDescent="0.2">
      <c r="A41" s="3"/>
      <c r="B41" s="72" t="s">
        <v>281</v>
      </c>
      <c r="C41" s="43">
        <v>1684800</v>
      </c>
      <c r="D41" s="43">
        <f t="shared" si="16"/>
        <v>140400</v>
      </c>
      <c r="E41" s="43"/>
      <c r="F41" s="43"/>
      <c r="G41" s="43"/>
      <c r="H41" s="43"/>
      <c r="I41" s="43"/>
      <c r="J41" s="43"/>
      <c r="K41" s="43"/>
      <c r="L41" s="43">
        <f t="shared" si="15"/>
        <v>0</v>
      </c>
      <c r="M41" s="43"/>
      <c r="N41" s="43">
        <f t="shared" si="17"/>
        <v>0</v>
      </c>
      <c r="O41" s="43"/>
      <c r="P41" s="43"/>
      <c r="Q41" s="43"/>
      <c r="R41" s="43">
        <f t="shared" si="11"/>
        <v>0</v>
      </c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>
        <v>842400</v>
      </c>
      <c r="AF41" s="43"/>
      <c r="AG41" s="43"/>
      <c r="AH41" s="43">
        <f>AE41+AF41</f>
        <v>842400</v>
      </c>
      <c r="AI41" s="71">
        <v>842400</v>
      </c>
      <c r="AJ41" s="70"/>
      <c r="AK41" s="100"/>
      <c r="AL41" s="12"/>
    </row>
    <row r="42" spans="1:38" s="2" customFormat="1" ht="10.199999999999999" x14ac:dyDescent="0.2">
      <c r="A42" s="3"/>
      <c r="B42" s="72" t="s">
        <v>280</v>
      </c>
      <c r="C42" s="43"/>
      <c r="D42" s="43"/>
      <c r="E42" s="43"/>
      <c r="F42" s="43"/>
      <c r="G42" s="43"/>
      <c r="H42" s="43"/>
      <c r="I42" s="43"/>
      <c r="J42" s="43"/>
      <c r="K42" s="43"/>
      <c r="L42" s="43">
        <f t="shared" si="15"/>
        <v>0</v>
      </c>
      <c r="M42" s="43"/>
      <c r="N42" s="43">
        <f t="shared" si="17"/>
        <v>0</v>
      </c>
      <c r="O42" s="43"/>
      <c r="P42" s="43"/>
      <c r="Q42" s="43"/>
      <c r="R42" s="43">
        <f t="shared" si="11"/>
        <v>0</v>
      </c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>
        <f t="shared" ref="AE42:AE47" si="18">SUM(Y42:AB42)</f>
        <v>0</v>
      </c>
      <c r="AF42" s="43"/>
      <c r="AG42" s="43"/>
      <c r="AH42" s="43"/>
      <c r="AI42" s="71"/>
      <c r="AJ42" s="70"/>
      <c r="AK42" s="100"/>
      <c r="AL42" s="12"/>
    </row>
    <row r="43" spans="1:38" s="2" customFormat="1" ht="20.399999999999999" x14ac:dyDescent="0.2">
      <c r="A43" s="3"/>
      <c r="B43" s="72" t="s">
        <v>279</v>
      </c>
      <c r="C43" s="43">
        <v>855360</v>
      </c>
      <c r="D43" s="43">
        <f>C43/12</f>
        <v>71280</v>
      </c>
      <c r="E43" s="43"/>
      <c r="F43" s="43"/>
      <c r="G43" s="43"/>
      <c r="H43" s="43"/>
      <c r="I43" s="43"/>
      <c r="J43" s="43"/>
      <c r="K43" s="43"/>
      <c r="L43" s="43">
        <f t="shared" si="15"/>
        <v>0</v>
      </c>
      <c r="M43" s="43"/>
      <c r="N43" s="43">
        <f t="shared" si="17"/>
        <v>0</v>
      </c>
      <c r="O43" s="43"/>
      <c r="P43" s="43"/>
      <c r="Q43" s="43"/>
      <c r="R43" s="43">
        <f t="shared" si="11"/>
        <v>0</v>
      </c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>
        <f t="shared" si="18"/>
        <v>0</v>
      </c>
      <c r="AF43" s="43"/>
      <c r="AG43" s="43"/>
      <c r="AH43" s="43"/>
      <c r="AI43" s="71"/>
      <c r="AJ43" s="70"/>
      <c r="AK43" s="100"/>
      <c r="AL43" s="12"/>
    </row>
    <row r="44" spans="1:38" s="2" customFormat="1" ht="10.199999999999999" x14ac:dyDescent="0.2">
      <c r="A44" s="3"/>
      <c r="B44" s="72" t="s">
        <v>278</v>
      </c>
      <c r="C44" s="43"/>
      <c r="D44" s="43"/>
      <c r="E44" s="43"/>
      <c r="F44" s="43"/>
      <c r="G44" s="43"/>
      <c r="H44" s="43"/>
      <c r="I44" s="43"/>
      <c r="J44" s="43"/>
      <c r="K44" s="43"/>
      <c r="L44" s="43">
        <f t="shared" si="15"/>
        <v>0</v>
      </c>
      <c r="M44" s="43"/>
      <c r="N44" s="43">
        <f t="shared" si="17"/>
        <v>0</v>
      </c>
      <c r="O44" s="43"/>
      <c r="P44" s="43"/>
      <c r="Q44" s="43"/>
      <c r="R44" s="43">
        <f t="shared" si="11"/>
        <v>0</v>
      </c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>
        <f t="shared" si="18"/>
        <v>0</v>
      </c>
      <c r="AF44" s="43"/>
      <c r="AG44" s="43"/>
      <c r="AH44" s="43"/>
      <c r="AI44" s="71"/>
      <c r="AJ44" s="70"/>
      <c r="AK44" s="100"/>
      <c r="AL44" s="12"/>
    </row>
    <row r="45" spans="1:38" s="2" customFormat="1" ht="10.199999999999999" x14ac:dyDescent="0.2">
      <c r="A45" s="3"/>
      <c r="B45" s="72" t="s">
        <v>277</v>
      </c>
      <c r="C45" s="43"/>
      <c r="D45" s="43"/>
      <c r="E45" s="43"/>
      <c r="F45" s="43"/>
      <c r="G45" s="43"/>
      <c r="H45" s="43"/>
      <c r="I45" s="43"/>
      <c r="J45" s="43"/>
      <c r="K45" s="43"/>
      <c r="L45" s="43">
        <f t="shared" si="15"/>
        <v>0</v>
      </c>
      <c r="M45" s="43"/>
      <c r="N45" s="43">
        <f t="shared" si="17"/>
        <v>0</v>
      </c>
      <c r="O45" s="43"/>
      <c r="P45" s="43"/>
      <c r="Q45" s="43"/>
      <c r="R45" s="43">
        <f t="shared" si="11"/>
        <v>0</v>
      </c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>
        <f t="shared" si="18"/>
        <v>0</v>
      </c>
      <c r="AF45" s="43"/>
      <c r="AG45" s="43"/>
      <c r="AH45" s="43"/>
      <c r="AI45" s="71"/>
      <c r="AJ45" s="70"/>
      <c r="AK45" s="100"/>
      <c r="AL45" s="12"/>
    </row>
    <row r="46" spans="1:38" s="2" customFormat="1" ht="10.199999999999999" x14ac:dyDescent="0.2">
      <c r="A46" s="3"/>
      <c r="B46" s="72" t="s">
        <v>276</v>
      </c>
      <c r="C46" s="43">
        <v>106920</v>
      </c>
      <c r="D46" s="43">
        <f>C46/12</f>
        <v>8910</v>
      </c>
      <c r="E46" s="43"/>
      <c r="F46" s="43"/>
      <c r="G46" s="43"/>
      <c r="H46" s="43"/>
      <c r="I46" s="43"/>
      <c r="J46" s="43"/>
      <c r="K46" s="43"/>
      <c r="L46" s="43">
        <f t="shared" si="15"/>
        <v>0</v>
      </c>
      <c r="M46" s="43"/>
      <c r="N46" s="43">
        <f t="shared" si="17"/>
        <v>0</v>
      </c>
      <c r="O46" s="43"/>
      <c r="P46" s="43"/>
      <c r="Q46" s="43"/>
      <c r="R46" s="43">
        <f t="shared" si="11"/>
        <v>0</v>
      </c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>
        <f t="shared" si="18"/>
        <v>0</v>
      </c>
      <c r="AF46" s="43"/>
      <c r="AG46" s="43"/>
      <c r="AH46" s="43"/>
      <c r="AI46" s="71"/>
      <c r="AJ46" s="70"/>
      <c r="AK46" s="100"/>
      <c r="AL46" s="12"/>
    </row>
    <row r="47" spans="1:38" s="2" customFormat="1" ht="10.199999999999999" x14ac:dyDescent="0.2">
      <c r="A47" s="3"/>
      <c r="B47" s="69" t="s">
        <v>275</v>
      </c>
      <c r="C47" s="35">
        <v>3184000</v>
      </c>
      <c r="D47" s="35">
        <f>C47/12</f>
        <v>265333.33333333331</v>
      </c>
      <c r="E47" s="35"/>
      <c r="F47" s="35"/>
      <c r="G47" s="35"/>
      <c r="H47" s="35">
        <v>3184000</v>
      </c>
      <c r="I47" s="35"/>
      <c r="J47" s="35"/>
      <c r="K47" s="35"/>
      <c r="L47" s="68">
        <f t="shared" si="15"/>
        <v>0</v>
      </c>
      <c r="M47" s="68"/>
      <c r="N47" s="68">
        <f t="shared" si="17"/>
        <v>0</v>
      </c>
      <c r="O47" s="68"/>
      <c r="P47" s="68"/>
      <c r="Q47" s="68"/>
      <c r="R47" s="68">
        <f t="shared" si="11"/>
        <v>0</v>
      </c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>
        <f t="shared" si="18"/>
        <v>0</v>
      </c>
      <c r="AF47" s="68"/>
      <c r="AG47" s="68"/>
      <c r="AH47" s="68"/>
      <c r="AI47" s="67"/>
      <c r="AJ47" s="66"/>
      <c r="AK47" s="100"/>
      <c r="AL47" s="12"/>
    </row>
    <row r="48" spans="1:38" s="2" customFormat="1" ht="13.2" x14ac:dyDescent="0.25">
      <c r="A48" s="3"/>
      <c r="B48" s="7"/>
      <c r="C48" s="7"/>
      <c r="D48" s="7"/>
      <c r="E48" s="7"/>
      <c r="F48" s="7"/>
      <c r="G48" s="7"/>
      <c r="H48" s="6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5"/>
      <c r="AD48" s="3"/>
      <c r="AE48" s="3"/>
      <c r="AF48" s="3"/>
      <c r="AG48" s="3"/>
      <c r="AH48" s="3"/>
      <c r="AI48" s="3"/>
      <c r="AJ48" s="4"/>
      <c r="AK48" s="96"/>
      <c r="AL48" s="20"/>
    </row>
    <row r="49" spans="1:38" s="18" customFormat="1" ht="13.2" hidden="1" x14ac:dyDescent="0.25">
      <c r="A49" s="20"/>
      <c r="B49" s="27"/>
      <c r="C49" s="27"/>
      <c r="D49" s="27"/>
      <c r="E49" s="27"/>
      <c r="F49" s="27"/>
      <c r="G49" s="27"/>
      <c r="H49" s="26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1"/>
      <c r="AD49" s="20"/>
      <c r="AE49" s="20"/>
      <c r="AF49" s="20"/>
      <c r="AG49" s="20"/>
      <c r="AH49" s="20"/>
      <c r="AI49" s="20"/>
      <c r="AJ49" s="19"/>
      <c r="AK49" s="96"/>
      <c r="AL49" s="20"/>
    </row>
    <row r="50" spans="1:38" s="18" customFormat="1" ht="13.2" hidden="1" x14ac:dyDescent="0.25">
      <c r="A50" s="20"/>
      <c r="B50" s="27"/>
      <c r="C50" s="27"/>
      <c r="D50" s="27"/>
      <c r="E50" s="27"/>
      <c r="F50" s="27"/>
      <c r="G50" s="27"/>
      <c r="H50" s="26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1"/>
      <c r="AD50" s="20"/>
      <c r="AE50" s="20"/>
      <c r="AF50" s="20"/>
      <c r="AG50" s="20"/>
      <c r="AH50" s="20"/>
      <c r="AI50" s="20"/>
      <c r="AJ50" s="19"/>
      <c r="AK50" s="96"/>
      <c r="AL50" s="20"/>
    </row>
    <row r="51" spans="1:38" s="18" customFormat="1" ht="13.2" hidden="1" x14ac:dyDescent="0.25">
      <c r="A51" s="20"/>
      <c r="B51" s="27"/>
      <c r="C51" s="27"/>
      <c r="D51" s="27"/>
      <c r="E51" s="27"/>
      <c r="F51" s="27"/>
      <c r="G51" s="27"/>
      <c r="H51" s="26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1"/>
      <c r="AD51" s="20"/>
      <c r="AE51" s="20"/>
      <c r="AF51" s="20"/>
      <c r="AG51" s="20"/>
      <c r="AH51" s="20"/>
      <c r="AI51" s="20"/>
      <c r="AJ51" s="19"/>
      <c r="AK51" s="96"/>
      <c r="AL51" s="20"/>
    </row>
    <row r="52" spans="1:38" s="18" customFormat="1" ht="13.2" hidden="1" x14ac:dyDescent="0.25">
      <c r="A52" s="20"/>
      <c r="B52" s="27"/>
      <c r="C52" s="27"/>
      <c r="D52" s="27"/>
      <c r="E52" s="27"/>
      <c r="F52" s="27"/>
      <c r="G52" s="27"/>
      <c r="H52" s="26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1"/>
      <c r="AD52" s="20"/>
      <c r="AE52" s="20"/>
      <c r="AF52" s="20"/>
      <c r="AG52" s="20"/>
      <c r="AH52" s="20"/>
      <c r="AI52" s="20"/>
      <c r="AJ52" s="19"/>
      <c r="AK52" s="96"/>
      <c r="AL52" s="20"/>
    </row>
    <row r="53" spans="1:38" s="18" customFormat="1" ht="13.2" hidden="1" x14ac:dyDescent="0.25">
      <c r="A53" s="20"/>
      <c r="B53" s="27"/>
      <c r="C53" s="27"/>
      <c r="D53" s="27"/>
      <c r="E53" s="27"/>
      <c r="F53" s="27"/>
      <c r="G53" s="27"/>
      <c r="H53" s="26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1"/>
      <c r="AD53" s="20"/>
      <c r="AE53" s="20"/>
      <c r="AF53" s="20"/>
      <c r="AG53" s="20"/>
      <c r="AH53" s="20"/>
      <c r="AI53" s="20"/>
      <c r="AJ53" s="19"/>
      <c r="AK53" s="96"/>
      <c r="AL53" s="20"/>
    </row>
    <row r="54" spans="1:38" s="18" customFormat="1" ht="13.2" hidden="1" x14ac:dyDescent="0.25">
      <c r="A54" s="20"/>
      <c r="B54" s="27"/>
      <c r="C54" s="27"/>
      <c r="D54" s="27"/>
      <c r="E54" s="27"/>
      <c r="F54" s="27"/>
      <c r="G54" s="27"/>
      <c r="H54" s="26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1"/>
      <c r="AD54" s="20"/>
      <c r="AE54" s="20"/>
      <c r="AF54" s="20"/>
      <c r="AG54" s="20"/>
      <c r="AH54" s="20"/>
      <c r="AI54" s="20"/>
      <c r="AJ54" s="19"/>
      <c r="AK54" s="96"/>
      <c r="AL54" s="20"/>
    </row>
    <row r="55" spans="1:38" s="18" customFormat="1" ht="13.2" x14ac:dyDescent="0.25">
      <c r="A55" s="20"/>
      <c r="B55" s="27"/>
      <c r="C55" s="27"/>
      <c r="D55" s="27"/>
      <c r="E55" s="27"/>
      <c r="F55" s="27"/>
      <c r="G55" s="27"/>
      <c r="H55" s="26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1"/>
      <c r="AD55" s="20"/>
      <c r="AE55" s="20"/>
      <c r="AF55" s="20"/>
      <c r="AG55" s="20"/>
      <c r="AH55" s="20"/>
      <c r="AI55" s="20"/>
      <c r="AJ55" s="19"/>
      <c r="AK55" s="96"/>
      <c r="AL55" s="20"/>
    </row>
    <row r="56" spans="1:38" s="18" customFormat="1" ht="13.2" x14ac:dyDescent="0.25">
      <c r="A56" s="20"/>
      <c r="B56" s="27"/>
      <c r="C56" s="27"/>
      <c r="D56" s="27"/>
      <c r="E56" s="27"/>
      <c r="F56" s="27"/>
      <c r="G56" s="27"/>
      <c r="H56" s="26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1"/>
      <c r="AD56" s="20"/>
      <c r="AE56" s="20"/>
      <c r="AF56" s="20"/>
      <c r="AG56" s="20"/>
      <c r="AH56" s="20"/>
      <c r="AI56" s="20"/>
      <c r="AJ56" s="19"/>
      <c r="AK56" s="96"/>
      <c r="AL56" s="20"/>
    </row>
    <row r="57" spans="1:38" s="18" customFormat="1" ht="13.2" x14ac:dyDescent="0.25">
      <c r="A57" s="20"/>
      <c r="B57" s="27"/>
      <c r="C57" s="27"/>
      <c r="D57" s="27"/>
      <c r="E57" s="27"/>
      <c r="F57" s="27"/>
      <c r="G57" s="27"/>
      <c r="H57" s="26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1"/>
      <c r="AD57" s="20"/>
      <c r="AE57" s="20"/>
      <c r="AF57" s="20"/>
      <c r="AG57" s="20"/>
      <c r="AH57" s="20"/>
      <c r="AI57" s="20"/>
      <c r="AJ57" s="19"/>
      <c r="AK57" s="96"/>
      <c r="AL57" s="20"/>
    </row>
    <row r="58" spans="1:38" s="18" customFormat="1" ht="13.2" x14ac:dyDescent="0.25">
      <c r="A58" s="20"/>
      <c r="B58" s="27"/>
      <c r="C58" s="27"/>
      <c r="D58" s="27"/>
      <c r="E58" s="27"/>
      <c r="F58" s="27"/>
      <c r="G58" s="27"/>
      <c r="H58" s="26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1"/>
      <c r="AD58" s="20"/>
      <c r="AE58" s="20"/>
      <c r="AF58" s="20"/>
      <c r="AG58" s="20"/>
      <c r="AH58" s="20"/>
      <c r="AI58" s="20"/>
      <c r="AJ58" s="19"/>
      <c r="AK58" s="96"/>
      <c r="AL58" s="20"/>
    </row>
    <row r="59" spans="1:38" s="18" customFormat="1" ht="13.2" x14ac:dyDescent="0.25">
      <c r="A59" s="20"/>
      <c r="B59" s="27"/>
      <c r="C59" s="27"/>
      <c r="D59" s="27"/>
      <c r="E59" s="27"/>
      <c r="F59" s="27"/>
      <c r="G59" s="27"/>
      <c r="H59" s="26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1"/>
      <c r="AD59" s="20"/>
      <c r="AE59" s="20"/>
      <c r="AF59" s="20"/>
      <c r="AG59" s="20"/>
      <c r="AH59" s="20"/>
      <c r="AI59" s="20"/>
      <c r="AJ59" s="19"/>
      <c r="AK59" s="96"/>
      <c r="AL59" s="20"/>
    </row>
    <row r="60" spans="1:38" s="18" customFormat="1" ht="13.2" x14ac:dyDescent="0.25">
      <c r="A60" s="65"/>
      <c r="B60" s="144"/>
      <c r="C60" s="144"/>
      <c r="D60" s="144"/>
      <c r="E60" s="144"/>
      <c r="F60" s="144"/>
      <c r="G60" s="144"/>
      <c r="H60" s="144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5"/>
      <c r="AD60" s="3"/>
      <c r="AE60" s="3"/>
      <c r="AF60" s="3"/>
      <c r="AG60" s="3"/>
      <c r="AH60" s="3"/>
      <c r="AJ60" s="4"/>
      <c r="AK60" s="96"/>
      <c r="AL60" s="84" t="s">
        <v>274</v>
      </c>
    </row>
    <row r="61" spans="1:38" s="18" customFormat="1" ht="30.6" x14ac:dyDescent="0.25">
      <c r="A61" s="64" t="s">
        <v>273</v>
      </c>
      <c r="B61" s="63" t="s">
        <v>272</v>
      </c>
      <c r="C61" s="62" t="s">
        <v>271</v>
      </c>
      <c r="D61" s="62" t="s">
        <v>270</v>
      </c>
      <c r="E61" s="60" t="s">
        <v>269</v>
      </c>
      <c r="F61" s="60" t="s">
        <v>268</v>
      </c>
      <c r="G61" s="62" t="s">
        <v>267</v>
      </c>
      <c r="H61" s="62" t="s">
        <v>266</v>
      </c>
      <c r="I61" s="62" t="s">
        <v>265</v>
      </c>
      <c r="J61" s="62" t="s">
        <v>265</v>
      </c>
      <c r="K61" s="62" t="s">
        <v>265</v>
      </c>
      <c r="L61" s="62" t="s">
        <v>264</v>
      </c>
      <c r="M61" s="60" t="s">
        <v>263</v>
      </c>
      <c r="N61" s="62" t="s">
        <v>262</v>
      </c>
      <c r="O61" s="62" t="s">
        <v>261</v>
      </c>
      <c r="P61" s="62" t="s">
        <v>260</v>
      </c>
      <c r="Q61" s="62" t="s">
        <v>259</v>
      </c>
      <c r="R61" s="62" t="s">
        <v>258</v>
      </c>
      <c r="S61" s="62" t="s">
        <v>257</v>
      </c>
      <c r="T61" s="62" t="s">
        <v>256</v>
      </c>
      <c r="U61" s="62" t="s">
        <v>255</v>
      </c>
      <c r="V61" s="62" t="s">
        <v>254</v>
      </c>
      <c r="W61" s="62" t="s">
        <v>253</v>
      </c>
      <c r="X61" s="60" t="s">
        <v>252</v>
      </c>
      <c r="Y61" s="62" t="s">
        <v>251</v>
      </c>
      <c r="Z61" s="62" t="s">
        <v>250</v>
      </c>
      <c r="AA61" s="62" t="s">
        <v>249</v>
      </c>
      <c r="AB61" s="62" t="s">
        <v>248</v>
      </c>
      <c r="AC61" s="61" t="s">
        <v>247</v>
      </c>
      <c r="AD61" s="60" t="s">
        <v>246</v>
      </c>
      <c r="AE61" s="62" t="s">
        <v>245</v>
      </c>
      <c r="AF61" s="61" t="s">
        <v>244</v>
      </c>
      <c r="AG61" s="61" t="s">
        <v>244</v>
      </c>
      <c r="AH61" s="60" t="s">
        <v>243</v>
      </c>
      <c r="AI61" s="59" t="s">
        <v>242</v>
      </c>
      <c r="AJ61" s="59" t="s">
        <v>241</v>
      </c>
      <c r="AK61" s="101" t="s">
        <v>328</v>
      </c>
      <c r="AL61" s="58" t="s">
        <v>240</v>
      </c>
    </row>
    <row r="62" spans="1:38" s="18" customFormat="1" ht="13.2" x14ac:dyDescent="0.25">
      <c r="A62" s="46">
        <v>11110</v>
      </c>
      <c r="B62" s="45" t="s">
        <v>239</v>
      </c>
      <c r="C62" s="43">
        <v>571048.4</v>
      </c>
      <c r="D62" s="43">
        <f t="shared" ref="D62:D96" si="19">C62/12</f>
        <v>47587.366666666669</v>
      </c>
      <c r="E62" s="43">
        <v>52640</v>
      </c>
      <c r="F62" s="43">
        <v>46685.1</v>
      </c>
      <c r="G62" s="43">
        <f t="shared" ref="G62:G96" si="20">C62*23.3/100</f>
        <v>133054.27720000001</v>
      </c>
      <c r="H62" s="44">
        <f>(E62+F62)/(8725103.2+9421212.6)*100</f>
        <v>0.54735683592589091</v>
      </c>
      <c r="I62" s="43">
        <f>7990664.7*H62/100+3850</f>
        <v>47587.449471367087</v>
      </c>
      <c r="J62" s="43"/>
      <c r="K62" s="43"/>
      <c r="L62" s="43">
        <f>SUM(I62:K62)-276</f>
        <v>47311.449471367087</v>
      </c>
      <c r="M62" s="43">
        <v>29528.1</v>
      </c>
      <c r="N62" s="43">
        <f t="shared" ref="N62:N96" si="21">M62-L62</f>
        <v>-17783.349471367088</v>
      </c>
      <c r="O62" s="43">
        <f t="shared" ref="O62:O96" si="22">M62/L62*100</f>
        <v>62.412165194537991</v>
      </c>
      <c r="P62" s="43">
        <v>161966</v>
      </c>
      <c r="Q62" s="44">
        <f t="shared" ref="Q62:Q96" si="23">P62/24509630.1*100</f>
        <v>0.66082596652488845</v>
      </c>
      <c r="R62" s="43">
        <f t="shared" ref="R62:R96" si="24">6201897*Q62/100</f>
        <v>40983.745793128059</v>
      </c>
      <c r="S62" s="43">
        <v>9200</v>
      </c>
      <c r="T62" s="43"/>
      <c r="U62" s="43"/>
      <c r="V62" s="43"/>
      <c r="W62" s="43"/>
      <c r="X62" s="43">
        <f t="shared" ref="X62:X93" si="25">SUM(R62:V62)</f>
        <v>50183.745793128059</v>
      </c>
      <c r="Y62" s="43">
        <v>40919</v>
      </c>
      <c r="Z62" s="43">
        <f>Y62</f>
        <v>40919</v>
      </c>
      <c r="AA62" s="43"/>
      <c r="AB62" s="43"/>
      <c r="AC62" s="43"/>
      <c r="AD62" s="43">
        <f t="shared" ref="AD62:AD93" si="26">SUM(Z62:AC62)</f>
        <v>40919</v>
      </c>
      <c r="AE62" s="42">
        <f>54784.6</f>
        <v>54784.6</v>
      </c>
      <c r="AF62" s="42"/>
      <c r="AG62" s="42">
        <f>9655.5+2432.1+1500</f>
        <v>13587.6</v>
      </c>
      <c r="AH62" s="42">
        <f t="shared" ref="AH62:AH93" si="27">AE62+AF62+AG62</f>
        <v>68372.2</v>
      </c>
      <c r="AI62" s="41">
        <v>43937.4</v>
      </c>
      <c r="AJ62" s="40">
        <v>50000</v>
      </c>
      <c r="AK62" s="49">
        <f>51539.28-13000</f>
        <v>38539.279999999999</v>
      </c>
      <c r="AL62" s="39">
        <f>AK62</f>
        <v>38539.279999999999</v>
      </c>
    </row>
    <row r="63" spans="1:38" s="18" customFormat="1" ht="13.2" x14ac:dyDescent="0.25">
      <c r="A63" s="46">
        <v>11210</v>
      </c>
      <c r="B63" s="45" t="s">
        <v>238</v>
      </c>
      <c r="C63" s="43">
        <f>71529+10008.6</f>
        <v>81537.600000000006</v>
      </c>
      <c r="D63" s="43">
        <f t="shared" si="19"/>
        <v>6794.8</v>
      </c>
      <c r="E63" s="43">
        <v>6800.8</v>
      </c>
      <c r="F63" s="43">
        <v>6469.3</v>
      </c>
      <c r="G63" s="43">
        <f t="shared" si="20"/>
        <v>18998.260800000004</v>
      </c>
      <c r="H63" s="44">
        <f>(E63+F63)/(8725103.2+9421212.6)*100</f>
        <v>7.3128342668873886E-2</v>
      </c>
      <c r="I63" s="43">
        <f>7990664.7*H63/100+951.4</f>
        <v>6794.8406633367431</v>
      </c>
      <c r="J63" s="43"/>
      <c r="K63" s="43"/>
      <c r="L63" s="43">
        <f>SUM(I63:K63)</f>
        <v>6794.8406633367431</v>
      </c>
      <c r="M63" s="43">
        <v>6794.8</v>
      </c>
      <c r="N63" s="43">
        <f t="shared" si="21"/>
        <v>-4.0663336742909451E-2</v>
      </c>
      <c r="O63" s="43">
        <f t="shared" si="22"/>
        <v>99.99940155569854</v>
      </c>
      <c r="P63" s="43">
        <v>24493.300000000003</v>
      </c>
      <c r="Q63" s="44">
        <f t="shared" si="23"/>
        <v>9.9933372719484673E-2</v>
      </c>
      <c r="R63" s="43">
        <f t="shared" si="24"/>
        <v>6197.7648446885378</v>
      </c>
      <c r="S63" s="43">
        <v>2900</v>
      </c>
      <c r="T63" s="43"/>
      <c r="U63" s="43"/>
      <c r="V63" s="43"/>
      <c r="W63" s="43"/>
      <c r="X63" s="43">
        <f t="shared" si="25"/>
        <v>9097.7648446885378</v>
      </c>
      <c r="Y63" s="43">
        <v>8048</v>
      </c>
      <c r="Z63" s="43">
        <f>Y63</f>
        <v>8048</v>
      </c>
      <c r="AA63" s="43"/>
      <c r="AB63" s="43"/>
      <c r="AC63" s="43"/>
      <c r="AD63" s="43">
        <f t="shared" si="26"/>
        <v>8048</v>
      </c>
      <c r="AE63" s="43">
        <v>9075.0999999999985</v>
      </c>
      <c r="AF63" s="43"/>
      <c r="AG63" s="43"/>
      <c r="AH63" s="42">
        <f t="shared" si="27"/>
        <v>9075.0999999999985</v>
      </c>
      <c r="AI63" s="41">
        <v>7115.3</v>
      </c>
      <c r="AJ63" s="40">
        <v>6888.9</v>
      </c>
      <c r="AK63" s="49">
        <f>6736.24-1100</f>
        <v>5636.24</v>
      </c>
      <c r="AL63" s="39">
        <f t="shared" ref="AL63:AL126" si="28">AK63</f>
        <v>5636.24</v>
      </c>
    </row>
    <row r="64" spans="1:38" s="18" customFormat="1" ht="24" customHeight="1" x14ac:dyDescent="0.25">
      <c r="A64" s="46">
        <v>11220</v>
      </c>
      <c r="B64" s="45" t="s">
        <v>237</v>
      </c>
      <c r="C64" s="43">
        <v>1728</v>
      </c>
      <c r="D64" s="43">
        <f t="shared" si="19"/>
        <v>144</v>
      </c>
      <c r="E64" s="43"/>
      <c r="F64" s="43"/>
      <c r="G64" s="43">
        <f t="shared" si="20"/>
        <v>402.62400000000002</v>
      </c>
      <c r="H64" s="44">
        <v>1.9898199999999998E-3</v>
      </c>
      <c r="I64" s="43">
        <f>7990664.7*H64/100</f>
        <v>158.99984433353998</v>
      </c>
      <c r="J64" s="43"/>
      <c r="K64" s="43"/>
      <c r="L64" s="43">
        <f>SUM(I64:K64)</f>
        <v>158.99984433353998</v>
      </c>
      <c r="M64" s="43">
        <v>0</v>
      </c>
      <c r="N64" s="43">
        <f t="shared" si="21"/>
        <v>-158.99984433353998</v>
      </c>
      <c r="O64" s="43">
        <f t="shared" si="22"/>
        <v>0</v>
      </c>
      <c r="P64" s="43">
        <v>520.1</v>
      </c>
      <c r="Q64" s="44">
        <f t="shared" si="23"/>
        <v>2.1220230492177031E-3</v>
      </c>
      <c r="R64" s="43">
        <f t="shared" si="24"/>
        <v>131.60568382874126</v>
      </c>
      <c r="S64" s="43"/>
      <c r="T64" s="43"/>
      <c r="U64" s="43"/>
      <c r="V64" s="43"/>
      <c r="W64" s="43"/>
      <c r="X64" s="43">
        <f t="shared" si="25"/>
        <v>131.60568382874126</v>
      </c>
      <c r="Y64" s="43"/>
      <c r="Z64" s="43">
        <f>Y64</f>
        <v>0</v>
      </c>
      <c r="AA64" s="43"/>
      <c r="AB64" s="43"/>
      <c r="AC64" s="43"/>
      <c r="AD64" s="43">
        <f t="shared" si="26"/>
        <v>0</v>
      </c>
      <c r="AE64" s="43"/>
      <c r="AF64" s="43"/>
      <c r="AG64" s="43"/>
      <c r="AH64" s="42">
        <f t="shared" si="27"/>
        <v>0</v>
      </c>
      <c r="AI64" s="41"/>
      <c r="AJ64" s="40">
        <v>0</v>
      </c>
      <c r="AK64" s="49"/>
      <c r="AL64" s="39">
        <f t="shared" si="28"/>
        <v>0</v>
      </c>
    </row>
    <row r="65" spans="1:38" s="18" customFormat="1" ht="13.2" x14ac:dyDescent="0.25">
      <c r="A65" s="46">
        <v>11310</v>
      </c>
      <c r="B65" s="45" t="s">
        <v>236</v>
      </c>
      <c r="C65" s="43">
        <v>100248.8</v>
      </c>
      <c r="D65" s="43">
        <f t="shared" si="19"/>
        <v>8354.0666666666675</v>
      </c>
      <c r="E65" s="43">
        <v>7672.9</v>
      </c>
      <c r="F65" s="43">
        <v>3890.9</v>
      </c>
      <c r="G65" s="43">
        <f t="shared" si="20"/>
        <v>23357.970400000002</v>
      </c>
      <c r="H65" s="44">
        <f>(E65+F65)/(8725103.2+9421212.6)*100</f>
        <v>6.3725332058863438E-2</v>
      </c>
      <c r="I65" s="43">
        <f>7990664.7*H65/100</f>
        <v>5092.0776137853836</v>
      </c>
      <c r="J65" s="43"/>
      <c r="K65" s="43"/>
      <c r="L65" s="43">
        <f>SUM(I65:K65)</f>
        <v>5092.0776137853836</v>
      </c>
      <c r="M65" s="43">
        <v>4077.7</v>
      </c>
      <c r="N65" s="43">
        <f t="shared" si="21"/>
        <v>-1014.3776137853838</v>
      </c>
      <c r="O65" s="43">
        <f t="shared" si="22"/>
        <v>80.079297867745808</v>
      </c>
      <c r="P65" s="43">
        <v>13996</v>
      </c>
      <c r="Q65" s="44">
        <f t="shared" si="23"/>
        <v>5.7104084977602332E-2</v>
      </c>
      <c r="R65" s="43">
        <f t="shared" si="24"/>
        <v>3541.5365331033699</v>
      </c>
      <c r="S65" s="43"/>
      <c r="T65" s="43"/>
      <c r="U65" s="43"/>
      <c r="V65" s="43"/>
      <c r="W65" s="43"/>
      <c r="X65" s="43">
        <f t="shared" si="25"/>
        <v>3541.5365331033699</v>
      </c>
      <c r="Y65" s="43">
        <v>2562</v>
      </c>
      <c r="Z65" s="43">
        <f>Y65</f>
        <v>2562</v>
      </c>
      <c r="AA65" s="43"/>
      <c r="AB65" s="43"/>
      <c r="AC65" s="43"/>
      <c r="AD65" s="43">
        <f t="shared" si="26"/>
        <v>2562</v>
      </c>
      <c r="AE65" s="43">
        <v>2644.5000000000005</v>
      </c>
      <c r="AF65" s="43"/>
      <c r="AG65" s="43"/>
      <c r="AH65" s="42">
        <f t="shared" si="27"/>
        <v>2644.5000000000005</v>
      </c>
      <c r="AI65" s="41">
        <v>3100.5</v>
      </c>
      <c r="AJ65" s="40">
        <v>4394.2</v>
      </c>
      <c r="AK65" s="49">
        <f>5136.46-1000-1200</f>
        <v>2936.46</v>
      </c>
      <c r="AL65" s="39">
        <f t="shared" si="28"/>
        <v>2936.46</v>
      </c>
    </row>
    <row r="66" spans="1:38" s="18" customFormat="1" ht="13.2" x14ac:dyDescent="0.25">
      <c r="A66" s="46">
        <v>11810</v>
      </c>
      <c r="B66" s="45" t="s">
        <v>235</v>
      </c>
      <c r="C66" s="43">
        <v>30000</v>
      </c>
      <c r="D66" s="43">
        <f t="shared" si="19"/>
        <v>2500</v>
      </c>
      <c r="E66" s="43"/>
      <c r="F66" s="43">
        <v>3881</v>
      </c>
      <c r="G66" s="43">
        <f t="shared" si="20"/>
        <v>6990</v>
      </c>
      <c r="H66" s="44">
        <f>(E66+F66)/(8725103.2+9421212.6)*100</f>
        <v>2.1387261429672687E-2</v>
      </c>
      <c r="I66" s="43">
        <v>3619</v>
      </c>
      <c r="J66" s="43"/>
      <c r="K66" s="43"/>
      <c r="L66" s="43">
        <f>SUM(I66:K66)+276</f>
        <v>3895</v>
      </c>
      <c r="M66" s="43">
        <v>3895</v>
      </c>
      <c r="N66" s="43">
        <f t="shared" si="21"/>
        <v>0</v>
      </c>
      <c r="O66" s="43">
        <f t="shared" si="22"/>
        <v>100</v>
      </c>
      <c r="P66" s="43">
        <v>7500</v>
      </c>
      <c r="Q66" s="44">
        <f t="shared" si="23"/>
        <v>3.0600217014291043E-2</v>
      </c>
      <c r="R66" s="43">
        <f t="shared" si="24"/>
        <v>1897.7939410028057</v>
      </c>
      <c r="S66" s="43">
        <v>4000</v>
      </c>
      <c r="T66" s="43"/>
      <c r="U66" s="43"/>
      <c r="V66" s="43"/>
      <c r="W66" s="43"/>
      <c r="X66" s="43">
        <f t="shared" si="25"/>
        <v>5897.7939410028057</v>
      </c>
      <c r="Y66" s="43"/>
      <c r="Z66" s="43">
        <f>D66</f>
        <v>2500</v>
      </c>
      <c r="AA66" s="43"/>
      <c r="AB66" s="43"/>
      <c r="AC66" s="43"/>
      <c r="AD66" s="43">
        <f t="shared" si="26"/>
        <v>2500</v>
      </c>
      <c r="AE66" s="43">
        <v>672.63900000000001</v>
      </c>
      <c r="AF66" s="43"/>
      <c r="AG66" s="42">
        <v>616.4</v>
      </c>
      <c r="AH66" s="42">
        <f t="shared" si="27"/>
        <v>1289.039</v>
      </c>
      <c r="AI66" s="41">
        <v>2500</v>
      </c>
      <c r="AJ66" s="40">
        <v>5177.6000000000004</v>
      </c>
      <c r="AK66" s="49">
        <v>2487.6390000000001</v>
      </c>
      <c r="AL66" s="39">
        <f t="shared" si="28"/>
        <v>2487.6390000000001</v>
      </c>
    </row>
    <row r="67" spans="1:38" s="18" customFormat="1" ht="13.2" x14ac:dyDescent="0.25">
      <c r="A67" s="46">
        <v>12110</v>
      </c>
      <c r="B67" s="45" t="s">
        <v>234</v>
      </c>
      <c r="C67" s="43">
        <v>124116.5</v>
      </c>
      <c r="D67" s="43">
        <f t="shared" si="19"/>
        <v>10343.041666666666</v>
      </c>
      <c r="E67" s="43">
        <v>8629.4</v>
      </c>
      <c r="F67" s="43">
        <v>10035</v>
      </c>
      <c r="G67" s="43">
        <f t="shared" si="20"/>
        <v>28919.144500000002</v>
      </c>
      <c r="H67" s="44">
        <f>(E67+F67)/(8725103.2+9421212.6)*100</f>
        <v>0.10285503793557921</v>
      </c>
      <c r="I67" s="43">
        <v>7508.3</v>
      </c>
      <c r="J67" s="43"/>
      <c r="K67" s="43">
        <v>3648.9</v>
      </c>
      <c r="L67" s="43">
        <f t="shared" ref="L67:L96" si="29">SUM(I67:K67)</f>
        <v>11157.2</v>
      </c>
      <c r="M67" s="43">
        <v>10599.4</v>
      </c>
      <c r="N67" s="43">
        <f t="shared" si="21"/>
        <v>-557.80000000000109</v>
      </c>
      <c r="O67" s="43">
        <f t="shared" si="22"/>
        <v>95.000537769332794</v>
      </c>
      <c r="P67" s="43">
        <v>37366.299999999996</v>
      </c>
      <c r="Q67" s="44">
        <f t="shared" si="23"/>
        <v>0.1524555852028138</v>
      </c>
      <c r="R67" s="43">
        <f t="shared" si="24"/>
        <v>9455.138365025754</v>
      </c>
      <c r="S67" s="43"/>
      <c r="T67" s="43">
        <v>319.7</v>
      </c>
      <c r="U67" s="43"/>
      <c r="V67" s="43"/>
      <c r="W67" s="43"/>
      <c r="X67" s="43">
        <f t="shared" si="25"/>
        <v>9774.8383650257547</v>
      </c>
      <c r="Y67" s="43">
        <v>9081</v>
      </c>
      <c r="Z67" s="43">
        <f>Y67</f>
        <v>9081</v>
      </c>
      <c r="AA67" s="43"/>
      <c r="AB67" s="43"/>
      <c r="AC67" s="43"/>
      <c r="AD67" s="43">
        <f t="shared" si="26"/>
        <v>9081</v>
      </c>
      <c r="AE67" s="42">
        <f>12270.2-2000</f>
        <v>10270.200000000001</v>
      </c>
      <c r="AF67" s="42"/>
      <c r="AG67" s="42"/>
      <c r="AH67" s="42">
        <f t="shared" si="27"/>
        <v>10270.200000000001</v>
      </c>
      <c r="AI67" s="41">
        <v>12728.3</v>
      </c>
      <c r="AJ67" s="40">
        <v>14101.099999999999</v>
      </c>
      <c r="AK67" s="49">
        <f>16784.6666666667-3000</f>
        <v>13784.666666666701</v>
      </c>
      <c r="AL67" s="39">
        <f t="shared" si="28"/>
        <v>13784.666666666701</v>
      </c>
    </row>
    <row r="68" spans="1:38" s="18" customFormat="1" ht="12.75" customHeight="1" x14ac:dyDescent="0.25">
      <c r="A68" s="46">
        <v>12120</v>
      </c>
      <c r="B68" s="45" t="s">
        <v>233</v>
      </c>
      <c r="C68" s="43">
        <v>7857.6</v>
      </c>
      <c r="D68" s="43">
        <f t="shared" si="19"/>
        <v>654.80000000000007</v>
      </c>
      <c r="E68" s="43"/>
      <c r="F68" s="43">
        <v>329.9</v>
      </c>
      <c r="G68" s="43">
        <f t="shared" si="20"/>
        <v>1830.8208000000002</v>
      </c>
      <c r="H68" s="44">
        <f>(E68+F68)/(8725103.2+9421212.6)*100</f>
        <v>1.8179998829294043E-3</v>
      </c>
      <c r="I68" s="43">
        <v>907.3</v>
      </c>
      <c r="J68" s="43"/>
      <c r="K68" s="43"/>
      <c r="L68" s="43">
        <f t="shared" si="29"/>
        <v>907.3</v>
      </c>
      <c r="M68" s="43">
        <v>746.3</v>
      </c>
      <c r="N68" s="43">
        <f t="shared" si="21"/>
        <v>-161</v>
      </c>
      <c r="O68" s="43">
        <f t="shared" si="22"/>
        <v>82.255042433594184</v>
      </c>
      <c r="P68" s="43">
        <v>1897.3999999999999</v>
      </c>
      <c r="Q68" s="44">
        <f t="shared" si="23"/>
        <v>7.7414469017221101E-3</v>
      </c>
      <c r="R68" s="43">
        <f t="shared" si="24"/>
        <v>480.11656315449648</v>
      </c>
      <c r="S68" s="43"/>
      <c r="T68" s="43">
        <v>958</v>
      </c>
      <c r="U68" s="43">
        <v>-958</v>
      </c>
      <c r="V68" s="43"/>
      <c r="W68" s="43"/>
      <c r="X68" s="43">
        <f t="shared" si="25"/>
        <v>480.11656315449636</v>
      </c>
      <c r="Y68" s="43">
        <v>351</v>
      </c>
      <c r="Z68" s="43">
        <f>Y68</f>
        <v>351</v>
      </c>
      <c r="AA68" s="43"/>
      <c r="AB68" s="43"/>
      <c r="AC68" s="43"/>
      <c r="AD68" s="43">
        <f t="shared" si="26"/>
        <v>351</v>
      </c>
      <c r="AE68" s="43">
        <v>481.6</v>
      </c>
      <c r="AF68" s="43"/>
      <c r="AG68" s="43"/>
      <c r="AH68" s="42">
        <f t="shared" si="27"/>
        <v>481.6</v>
      </c>
      <c r="AI68" s="41">
        <v>680.3</v>
      </c>
      <c r="AJ68" s="40">
        <v>1128.7</v>
      </c>
      <c r="AK68" s="49">
        <v>583.6</v>
      </c>
      <c r="AL68" s="39">
        <f t="shared" si="28"/>
        <v>583.6</v>
      </c>
    </row>
    <row r="69" spans="1:38" s="18" customFormat="1" ht="13.2" x14ac:dyDescent="0.25">
      <c r="A69" s="46">
        <v>12810</v>
      </c>
      <c r="B69" s="45" t="s">
        <v>232</v>
      </c>
      <c r="C69" s="43">
        <v>30000</v>
      </c>
      <c r="D69" s="43">
        <f t="shared" si="19"/>
        <v>2500</v>
      </c>
      <c r="E69" s="43"/>
      <c r="F69" s="43"/>
      <c r="G69" s="43">
        <f t="shared" si="20"/>
        <v>6990</v>
      </c>
      <c r="H69" s="44">
        <v>9.3859499999999998E-2</v>
      </c>
      <c r="I69" s="43">
        <f>7990664.7*H69/100</f>
        <v>7499.9979340965001</v>
      </c>
      <c r="J69" s="43"/>
      <c r="K69" s="43"/>
      <c r="L69" s="43">
        <f t="shared" si="29"/>
        <v>7499.9979340965001</v>
      </c>
      <c r="M69" s="43">
        <v>2180</v>
      </c>
      <c r="N69" s="43">
        <f t="shared" si="21"/>
        <v>-5319.9979340965001</v>
      </c>
      <c r="O69" s="43">
        <f t="shared" si="22"/>
        <v>29.066674673192662</v>
      </c>
      <c r="P69" s="43">
        <v>7500</v>
      </c>
      <c r="Q69" s="44">
        <f t="shared" si="23"/>
        <v>3.0600217014291043E-2</v>
      </c>
      <c r="R69" s="43">
        <f t="shared" si="24"/>
        <v>1897.7939410028057</v>
      </c>
      <c r="S69" s="43"/>
      <c r="T69" s="43"/>
      <c r="U69" s="43">
        <v>550</v>
      </c>
      <c r="V69" s="43"/>
      <c r="W69" s="43"/>
      <c r="X69" s="43">
        <f t="shared" si="25"/>
        <v>2447.7939410028057</v>
      </c>
      <c r="Y69" s="43"/>
      <c r="Z69" s="43">
        <f>D69</f>
        <v>2500</v>
      </c>
      <c r="AA69" s="43"/>
      <c r="AB69" s="43"/>
      <c r="AC69" s="43"/>
      <c r="AD69" s="43">
        <f t="shared" si="26"/>
        <v>2500</v>
      </c>
      <c r="AE69" s="42">
        <f>9627.6</f>
        <v>9627.6</v>
      </c>
      <c r="AF69" s="42"/>
      <c r="AG69" s="42"/>
      <c r="AH69" s="42">
        <f t="shared" si="27"/>
        <v>9627.6</v>
      </c>
      <c r="AI69" s="41">
        <v>4761.3</v>
      </c>
      <c r="AJ69" s="40">
        <v>4620</v>
      </c>
      <c r="AK69" s="49">
        <f>10979.3-5000</f>
        <v>5979.2999999999993</v>
      </c>
      <c r="AL69" s="39">
        <f t="shared" si="28"/>
        <v>5979.2999999999993</v>
      </c>
    </row>
    <row r="70" spans="1:38" s="18" customFormat="1" ht="13.2" x14ac:dyDescent="0.25">
      <c r="A70" s="46">
        <v>13120</v>
      </c>
      <c r="B70" s="45" t="s">
        <v>231</v>
      </c>
      <c r="C70" s="43">
        <v>5448.5</v>
      </c>
      <c r="D70" s="43">
        <f t="shared" si="19"/>
        <v>454.04166666666669</v>
      </c>
      <c r="E70" s="43">
        <v>441</v>
      </c>
      <c r="F70" s="43">
        <v>335</v>
      </c>
      <c r="G70" s="43">
        <f t="shared" si="20"/>
        <v>1269.5005000000001</v>
      </c>
      <c r="H70" s="44">
        <f t="shared" ref="H70:H96" si="30">(E70+F70)/(8725103.2+9421212.6)*100</f>
        <v>4.276350133838187E-3</v>
      </c>
      <c r="I70" s="43">
        <v>499</v>
      </c>
      <c r="J70" s="43"/>
      <c r="K70" s="43"/>
      <c r="L70" s="43">
        <f t="shared" si="29"/>
        <v>499</v>
      </c>
      <c r="M70" s="43">
        <v>499</v>
      </c>
      <c r="N70" s="43">
        <f t="shared" si="21"/>
        <v>0</v>
      </c>
      <c r="O70" s="43">
        <f t="shared" si="22"/>
        <v>100</v>
      </c>
      <c r="P70" s="43">
        <v>1395.3000000000002</v>
      </c>
      <c r="Q70" s="44">
        <f t="shared" si="23"/>
        <v>5.6928643733387069E-3</v>
      </c>
      <c r="R70" s="43">
        <f t="shared" si="24"/>
        <v>353.06558478416207</v>
      </c>
      <c r="S70" s="43"/>
      <c r="T70" s="43"/>
      <c r="U70" s="43"/>
      <c r="V70" s="43"/>
      <c r="W70" s="43"/>
      <c r="X70" s="43">
        <f t="shared" si="25"/>
        <v>353.06558478416207</v>
      </c>
      <c r="Y70" s="43">
        <v>437</v>
      </c>
      <c r="Z70" s="43">
        <f>Y70</f>
        <v>437</v>
      </c>
      <c r="AA70" s="43"/>
      <c r="AB70" s="43"/>
      <c r="AC70" s="43"/>
      <c r="AD70" s="43">
        <f t="shared" si="26"/>
        <v>437</v>
      </c>
      <c r="AE70" s="43">
        <v>634.79999999999995</v>
      </c>
      <c r="AF70" s="43"/>
      <c r="AG70" s="43"/>
      <c r="AH70" s="42">
        <f t="shared" si="27"/>
        <v>634.79999999999995</v>
      </c>
      <c r="AI70" s="41">
        <v>437.7</v>
      </c>
      <c r="AJ70" s="40">
        <v>326.3</v>
      </c>
      <c r="AK70" s="49">
        <v>646.29999999999995</v>
      </c>
      <c r="AL70" s="39">
        <f t="shared" si="28"/>
        <v>646.29999999999995</v>
      </c>
    </row>
    <row r="71" spans="1:38" s="18" customFormat="1" ht="13.2" x14ac:dyDescent="0.25">
      <c r="A71" s="46">
        <v>14110</v>
      </c>
      <c r="B71" s="45" t="s">
        <v>230</v>
      </c>
      <c r="C71" s="43">
        <f>188691.8+5217.6</f>
        <v>193909.4</v>
      </c>
      <c r="D71" s="43">
        <f t="shared" si="19"/>
        <v>16159.116666666667</v>
      </c>
      <c r="E71" s="43">
        <v>12415.3</v>
      </c>
      <c r="F71" s="43">
        <v>14490.5</v>
      </c>
      <c r="G71" s="43">
        <f t="shared" si="20"/>
        <v>45180.890199999994</v>
      </c>
      <c r="H71" s="44">
        <f t="shared" si="30"/>
        <v>0.14827141936987565</v>
      </c>
      <c r="I71" s="43">
        <v>16037.9</v>
      </c>
      <c r="J71" s="43"/>
      <c r="K71" s="43"/>
      <c r="L71" s="43">
        <f t="shared" si="29"/>
        <v>16037.9</v>
      </c>
      <c r="M71" s="43">
        <v>14313.7</v>
      </c>
      <c r="N71" s="43">
        <f t="shared" si="21"/>
        <v>-1724.1999999999989</v>
      </c>
      <c r="O71" s="43">
        <f t="shared" si="22"/>
        <v>89.249215919790004</v>
      </c>
      <c r="P71" s="43">
        <v>51603.3</v>
      </c>
      <c r="Q71" s="44">
        <f t="shared" si="23"/>
        <v>0.21054295715380872</v>
      </c>
      <c r="R71" s="43">
        <f t="shared" si="24"/>
        <v>13057.657343433348</v>
      </c>
      <c r="S71" s="43"/>
      <c r="T71" s="43">
        <f>2600+380.1</f>
        <v>2980.1</v>
      </c>
      <c r="U71" s="43"/>
      <c r="V71" s="43"/>
      <c r="W71" s="43"/>
      <c r="X71" s="43">
        <f t="shared" si="25"/>
        <v>16037.757343433348</v>
      </c>
      <c r="Y71" s="43">
        <v>13740</v>
      </c>
      <c r="Z71" s="43">
        <f>Y71</f>
        <v>13740</v>
      </c>
      <c r="AA71" s="43"/>
      <c r="AB71" s="43"/>
      <c r="AC71" s="43"/>
      <c r="AD71" s="43">
        <f t="shared" si="26"/>
        <v>13740</v>
      </c>
      <c r="AE71" s="43">
        <f>20316.8-4000</f>
        <v>16316.8</v>
      </c>
      <c r="AF71" s="43"/>
      <c r="AG71" s="43"/>
      <c r="AH71" s="42">
        <f t="shared" si="27"/>
        <v>16316.8</v>
      </c>
      <c r="AI71" s="41">
        <v>20832.400000000001</v>
      </c>
      <c r="AJ71" s="40">
        <v>25121.1</v>
      </c>
      <c r="AK71" s="49">
        <f>21523.7-7000</f>
        <v>14523.7</v>
      </c>
      <c r="AL71" s="39">
        <f t="shared" si="28"/>
        <v>14523.7</v>
      </c>
    </row>
    <row r="72" spans="1:38" s="18" customFormat="1" ht="13.2" x14ac:dyDescent="0.25">
      <c r="A72" s="46">
        <v>14810</v>
      </c>
      <c r="B72" s="45" t="s">
        <v>229</v>
      </c>
      <c r="C72" s="43">
        <v>30000</v>
      </c>
      <c r="D72" s="43">
        <f t="shared" si="19"/>
        <v>2500</v>
      </c>
      <c r="E72" s="43"/>
      <c r="F72" s="43">
        <v>350</v>
      </c>
      <c r="G72" s="43">
        <f t="shared" si="20"/>
        <v>6990</v>
      </c>
      <c r="H72" s="44">
        <f t="shared" si="30"/>
        <v>1.9287661686125843E-3</v>
      </c>
      <c r="I72" s="43">
        <v>7150</v>
      </c>
      <c r="J72" s="43"/>
      <c r="K72" s="43"/>
      <c r="L72" s="43">
        <f t="shared" si="29"/>
        <v>7150</v>
      </c>
      <c r="M72" s="43">
        <v>6442</v>
      </c>
      <c r="N72" s="43">
        <f t="shared" si="21"/>
        <v>-708</v>
      </c>
      <c r="O72" s="43">
        <f t="shared" si="22"/>
        <v>90.097902097902093</v>
      </c>
      <c r="P72" s="43">
        <v>7500</v>
      </c>
      <c r="Q72" s="44">
        <f t="shared" si="23"/>
        <v>3.0600217014291043E-2</v>
      </c>
      <c r="R72" s="43">
        <f t="shared" si="24"/>
        <v>1897.7939410028057</v>
      </c>
      <c r="S72" s="43">
        <v>9681.2999999999993</v>
      </c>
      <c r="T72" s="43">
        <f>1207</f>
        <v>1207</v>
      </c>
      <c r="U72" s="43">
        <v>500</v>
      </c>
      <c r="V72" s="43"/>
      <c r="W72" s="43"/>
      <c r="X72" s="43">
        <f t="shared" si="25"/>
        <v>13286.093941002804</v>
      </c>
      <c r="Y72" s="43"/>
      <c r="Z72" s="43">
        <f>D72</f>
        <v>2500</v>
      </c>
      <c r="AA72" s="43"/>
      <c r="AB72" s="43"/>
      <c r="AC72" s="43"/>
      <c r="AD72" s="43">
        <f t="shared" si="26"/>
        <v>2500</v>
      </c>
      <c r="AE72" s="43">
        <v>1659.575</v>
      </c>
      <c r="AF72" s="43"/>
      <c r="AG72" s="43"/>
      <c r="AH72" s="42">
        <f t="shared" si="27"/>
        <v>1659.575</v>
      </c>
      <c r="AI72" s="41">
        <v>2000</v>
      </c>
      <c r="AJ72" s="40">
        <v>2871.2</v>
      </c>
      <c r="AK72" s="49">
        <f>3242.875-1200</f>
        <v>2042.875</v>
      </c>
      <c r="AL72" s="39">
        <f t="shared" si="28"/>
        <v>2042.875</v>
      </c>
    </row>
    <row r="73" spans="1:38" s="18" customFormat="1" ht="13.2" x14ac:dyDescent="0.25">
      <c r="A73" s="46">
        <v>15120</v>
      </c>
      <c r="B73" s="45" t="s">
        <v>228</v>
      </c>
      <c r="C73" s="43">
        <f>378971.1+3950.6+12037.8</f>
        <v>394959.49999999994</v>
      </c>
      <c r="D73" s="43">
        <f t="shared" si="19"/>
        <v>32913.291666666664</v>
      </c>
      <c r="E73" s="43">
        <v>26663.4</v>
      </c>
      <c r="F73" s="43">
        <v>28196.5</v>
      </c>
      <c r="G73" s="43">
        <f t="shared" si="20"/>
        <v>92025.563499999989</v>
      </c>
      <c r="H73" s="44">
        <f t="shared" si="30"/>
        <v>0.30231976895277007</v>
      </c>
      <c r="I73" s="43">
        <v>37563.5</v>
      </c>
      <c r="J73" s="43"/>
      <c r="K73" s="43">
        <v>100</v>
      </c>
      <c r="L73" s="43">
        <f t="shared" si="29"/>
        <v>37663.5</v>
      </c>
      <c r="M73" s="43">
        <v>37560.199999999997</v>
      </c>
      <c r="N73" s="43">
        <f t="shared" si="21"/>
        <v>-103.30000000000291</v>
      </c>
      <c r="O73" s="43">
        <f t="shared" si="22"/>
        <v>99.725729154220915</v>
      </c>
      <c r="P73" s="43">
        <v>104489.4</v>
      </c>
      <c r="Q73" s="44">
        <f t="shared" si="23"/>
        <v>0.42631977542574168</v>
      </c>
      <c r="R73" s="43">
        <f t="shared" si="24"/>
        <v>26439.913362535812</v>
      </c>
      <c r="S73" s="43"/>
      <c r="T73" s="43">
        <f>317.9+5159.5+507.3+1953</f>
        <v>7937.7</v>
      </c>
      <c r="U73" s="43">
        <v>958</v>
      </c>
      <c r="V73" s="43"/>
      <c r="W73" s="43"/>
      <c r="X73" s="43">
        <f t="shared" si="25"/>
        <v>35335.613362535812</v>
      </c>
      <c r="Y73" s="43">
        <v>27706</v>
      </c>
      <c r="Z73" s="43">
        <f t="shared" ref="Z73:Z93" si="31">Y73</f>
        <v>27706</v>
      </c>
      <c r="AA73" s="43"/>
      <c r="AB73" s="43">
        <v>500</v>
      </c>
      <c r="AC73" s="43">
        <v>2330.6</v>
      </c>
      <c r="AD73" s="43">
        <f t="shared" si="26"/>
        <v>30536.6</v>
      </c>
      <c r="AE73" s="43">
        <v>33742.399999999994</v>
      </c>
      <c r="AF73" s="43"/>
      <c r="AG73" s="43"/>
      <c r="AH73" s="42">
        <f t="shared" si="27"/>
        <v>33742.399999999994</v>
      </c>
      <c r="AI73" s="41">
        <v>33550.6</v>
      </c>
      <c r="AJ73" s="40">
        <v>35915.1</v>
      </c>
      <c r="AK73" s="49">
        <f>39786.8-6000</f>
        <v>33786.800000000003</v>
      </c>
      <c r="AL73" s="39">
        <f t="shared" si="28"/>
        <v>33786.800000000003</v>
      </c>
    </row>
    <row r="74" spans="1:38" s="18" customFormat="1" ht="13.2" x14ac:dyDescent="0.25">
      <c r="A74" s="46">
        <v>15130</v>
      </c>
      <c r="B74" s="45" t="s">
        <v>227</v>
      </c>
      <c r="C74" s="43">
        <v>19000</v>
      </c>
      <c r="D74" s="43">
        <f t="shared" si="19"/>
        <v>1583.3333333333333</v>
      </c>
      <c r="E74" s="43">
        <v>500</v>
      </c>
      <c r="F74" s="43">
        <v>1000</v>
      </c>
      <c r="G74" s="43">
        <f t="shared" si="20"/>
        <v>4427</v>
      </c>
      <c r="H74" s="44">
        <f t="shared" si="30"/>
        <v>8.2661407226253623E-3</v>
      </c>
      <c r="I74" s="43">
        <v>2185.3000000000002</v>
      </c>
      <c r="J74" s="43"/>
      <c r="K74" s="43"/>
      <c r="L74" s="43">
        <f t="shared" si="29"/>
        <v>2185.3000000000002</v>
      </c>
      <c r="M74" s="43">
        <v>0</v>
      </c>
      <c r="N74" s="43">
        <f t="shared" si="21"/>
        <v>-2185.3000000000002</v>
      </c>
      <c r="O74" s="43">
        <f t="shared" si="22"/>
        <v>0</v>
      </c>
      <c r="P74" s="43">
        <v>5147.4000000000005</v>
      </c>
      <c r="Q74" s="44">
        <f t="shared" si="23"/>
        <v>2.1001540941248231E-2</v>
      </c>
      <c r="R74" s="43">
        <f t="shared" si="24"/>
        <v>1302.4939375890458</v>
      </c>
      <c r="S74" s="43"/>
      <c r="T74" s="43"/>
      <c r="U74" s="43"/>
      <c r="V74" s="43"/>
      <c r="W74" s="43"/>
      <c r="X74" s="43">
        <f t="shared" si="25"/>
        <v>1302.4939375890458</v>
      </c>
      <c r="Y74" s="43">
        <v>578</v>
      </c>
      <c r="Z74" s="43">
        <f t="shared" si="31"/>
        <v>578</v>
      </c>
      <c r="AA74" s="43"/>
      <c r="AB74" s="43"/>
      <c r="AC74" s="43"/>
      <c r="AD74" s="43">
        <f t="shared" si="26"/>
        <v>578</v>
      </c>
      <c r="AE74" s="43">
        <f>3333.2-2000</f>
        <v>1333.1999999999998</v>
      </c>
      <c r="AF74" s="43"/>
      <c r="AG74" s="43"/>
      <c r="AH74" s="42">
        <f t="shared" si="27"/>
        <v>1333.1999999999998</v>
      </c>
      <c r="AI74" s="41">
        <f>1800</f>
        <v>1800</v>
      </c>
      <c r="AJ74" s="40">
        <v>1077.8</v>
      </c>
      <c r="AK74" s="49">
        <v>1125.4086021505375</v>
      </c>
      <c r="AL74" s="39">
        <f t="shared" si="28"/>
        <v>1125.4086021505375</v>
      </c>
    </row>
    <row r="75" spans="1:38" s="18" customFormat="1" ht="13.2" x14ac:dyDescent="0.25">
      <c r="A75" s="46">
        <v>15140</v>
      </c>
      <c r="B75" s="45" t="s">
        <v>226</v>
      </c>
      <c r="C75" s="43">
        <v>73731.3</v>
      </c>
      <c r="D75" s="43">
        <f t="shared" si="19"/>
        <v>6144.2750000000005</v>
      </c>
      <c r="E75" s="43"/>
      <c r="F75" s="43">
        <v>158687.20000000001</v>
      </c>
      <c r="G75" s="43">
        <f t="shared" si="20"/>
        <v>17179.392899999999</v>
      </c>
      <c r="H75" s="44">
        <f t="shared" si="30"/>
        <v>0.87448715071959693</v>
      </c>
      <c r="I75" s="43">
        <v>31873.9</v>
      </c>
      <c r="J75" s="43"/>
      <c r="K75" s="43"/>
      <c r="L75" s="43">
        <f t="shared" si="29"/>
        <v>31873.9</v>
      </c>
      <c r="M75" s="43">
        <v>31368</v>
      </c>
      <c r="N75" s="43">
        <f t="shared" si="21"/>
        <v>-505.90000000000146</v>
      </c>
      <c r="O75" s="43">
        <f t="shared" si="22"/>
        <v>98.412807971412349</v>
      </c>
      <c r="P75" s="43">
        <v>155015.1</v>
      </c>
      <c r="Q75" s="44">
        <f t="shared" si="23"/>
        <v>0.63246609339893711</v>
      </c>
      <c r="R75" s="43">
        <f t="shared" si="24"/>
        <v>39224.895672525883</v>
      </c>
      <c r="S75" s="43">
        <v>2000</v>
      </c>
      <c r="T75" s="43"/>
      <c r="U75" s="43"/>
      <c r="V75" s="43"/>
      <c r="W75" s="43"/>
      <c r="X75" s="43">
        <f t="shared" si="25"/>
        <v>41224.895672525883</v>
      </c>
      <c r="Y75" s="43">
        <v>33</v>
      </c>
      <c r="Z75" s="43">
        <f t="shared" si="31"/>
        <v>33</v>
      </c>
      <c r="AA75" s="43"/>
      <c r="AB75" s="43"/>
      <c r="AC75" s="43"/>
      <c r="AD75" s="43">
        <f t="shared" si="26"/>
        <v>33</v>
      </c>
      <c r="AE75" s="43">
        <v>0</v>
      </c>
      <c r="AF75" s="43"/>
      <c r="AG75" s="43">
        <v>543.6</v>
      </c>
      <c r="AH75" s="42">
        <f t="shared" si="27"/>
        <v>543.6</v>
      </c>
      <c r="AI75" s="41">
        <v>66490</v>
      </c>
      <c r="AJ75" s="40">
        <v>58200</v>
      </c>
      <c r="AK75" s="49">
        <f>52125.76-50000</f>
        <v>2125.760000000002</v>
      </c>
      <c r="AL75" s="39">
        <f t="shared" si="28"/>
        <v>2125.760000000002</v>
      </c>
    </row>
    <row r="76" spans="1:38" s="18" customFormat="1" ht="13.2" x14ac:dyDescent="0.25">
      <c r="A76" s="46">
        <v>16110</v>
      </c>
      <c r="B76" s="45" t="s">
        <v>225</v>
      </c>
      <c r="C76" s="43">
        <v>129548</v>
      </c>
      <c r="D76" s="43">
        <f t="shared" si="19"/>
        <v>10795.666666666666</v>
      </c>
      <c r="E76" s="43">
        <v>9281.2999999999993</v>
      </c>
      <c r="F76" s="43">
        <v>4193</v>
      </c>
      <c r="G76" s="43">
        <f t="shared" si="20"/>
        <v>30184.683999999997</v>
      </c>
      <c r="H76" s="44">
        <f t="shared" si="30"/>
        <v>7.4253639959247275E-2</v>
      </c>
      <c r="I76" s="43">
        <f>7990664.7*H76/100</f>
        <v>5933.3593966886665</v>
      </c>
      <c r="J76" s="43">
        <f>14092.6-I76</f>
        <v>8159.2406033113339</v>
      </c>
      <c r="K76" s="43"/>
      <c r="L76" s="43">
        <f t="shared" si="29"/>
        <v>14092.6</v>
      </c>
      <c r="M76" s="43">
        <v>12632.7</v>
      </c>
      <c r="N76" s="43">
        <f t="shared" si="21"/>
        <v>-1459.8999999999996</v>
      </c>
      <c r="O76" s="43">
        <f t="shared" si="22"/>
        <v>89.640662475341671</v>
      </c>
      <c r="P76" s="43">
        <v>36086.5</v>
      </c>
      <c r="Q76" s="44">
        <f t="shared" si="23"/>
        <v>0.14723396417149517</v>
      </c>
      <c r="R76" s="43">
        <f t="shared" si="24"/>
        <v>9131.2988069330349</v>
      </c>
      <c r="S76" s="43"/>
      <c r="T76" s="43"/>
      <c r="U76" s="43"/>
      <c r="V76" s="43"/>
      <c r="W76" s="43"/>
      <c r="X76" s="43">
        <f t="shared" si="25"/>
        <v>9131.2988069330349</v>
      </c>
      <c r="Y76" s="43">
        <v>8852</v>
      </c>
      <c r="Z76" s="43">
        <f t="shared" si="31"/>
        <v>8852</v>
      </c>
      <c r="AA76" s="43"/>
      <c r="AB76" s="43"/>
      <c r="AC76" s="43"/>
      <c r="AD76" s="43">
        <f t="shared" si="26"/>
        <v>8852</v>
      </c>
      <c r="AE76" s="43">
        <f>15631.3-2000</f>
        <v>13631.3</v>
      </c>
      <c r="AF76" s="43"/>
      <c r="AG76" s="43"/>
      <c r="AH76" s="42">
        <f t="shared" si="27"/>
        <v>13631.3</v>
      </c>
      <c r="AI76" s="41">
        <f>11263.2+8225</f>
        <v>19488.2</v>
      </c>
      <c r="AJ76" s="40">
        <v>11290</v>
      </c>
      <c r="AK76" s="49">
        <f>17737.9-5000</f>
        <v>12737.900000000001</v>
      </c>
      <c r="AL76" s="39">
        <f t="shared" si="28"/>
        <v>12737.900000000001</v>
      </c>
    </row>
    <row r="77" spans="1:38" s="18" customFormat="1" ht="13.2" x14ac:dyDescent="0.25">
      <c r="A77" s="46">
        <v>16120</v>
      </c>
      <c r="B77" s="45" t="s">
        <v>224</v>
      </c>
      <c r="C77" s="43">
        <v>34533</v>
      </c>
      <c r="D77" s="43">
        <f t="shared" si="19"/>
        <v>2877.75</v>
      </c>
      <c r="E77" s="43">
        <v>2483.3000000000002</v>
      </c>
      <c r="F77" s="43">
        <v>869.7</v>
      </c>
      <c r="G77" s="43">
        <f t="shared" si="20"/>
        <v>8046.1890000000003</v>
      </c>
      <c r="H77" s="44">
        <f t="shared" si="30"/>
        <v>1.8477579895308557E-2</v>
      </c>
      <c r="I77" s="43">
        <v>4055.7</v>
      </c>
      <c r="J77" s="43"/>
      <c r="K77" s="43"/>
      <c r="L77" s="43">
        <f t="shared" si="29"/>
        <v>4055.7</v>
      </c>
      <c r="M77" s="43">
        <v>1590.2</v>
      </c>
      <c r="N77" s="43">
        <f t="shared" si="21"/>
        <v>-2465.5</v>
      </c>
      <c r="O77" s="43">
        <f t="shared" si="22"/>
        <v>39.20901447345711</v>
      </c>
      <c r="P77" s="43">
        <v>11579.3</v>
      </c>
      <c r="Q77" s="44">
        <f t="shared" si="23"/>
        <v>4.7243879049810707E-2</v>
      </c>
      <c r="R77" s="43">
        <f t="shared" si="24"/>
        <v>2930.016717473839</v>
      </c>
      <c r="S77" s="43"/>
      <c r="T77" s="43"/>
      <c r="U77" s="43"/>
      <c r="V77" s="43"/>
      <c r="W77" s="43"/>
      <c r="X77" s="43">
        <f t="shared" si="25"/>
        <v>2930.016717473839</v>
      </c>
      <c r="Y77" s="43">
        <v>1749</v>
      </c>
      <c r="Z77" s="43">
        <f t="shared" si="31"/>
        <v>1749</v>
      </c>
      <c r="AA77" s="43"/>
      <c r="AB77" s="43"/>
      <c r="AC77" s="43"/>
      <c r="AD77" s="43">
        <f t="shared" si="26"/>
        <v>1749</v>
      </c>
      <c r="AE77" s="43">
        <f>7252-4000</f>
        <v>3252</v>
      </c>
      <c r="AF77" s="43"/>
      <c r="AG77" s="43"/>
      <c r="AH77" s="42">
        <f t="shared" si="27"/>
        <v>3252</v>
      </c>
      <c r="AI77" s="41">
        <v>2000</v>
      </c>
      <c r="AJ77" s="40">
        <v>2000</v>
      </c>
      <c r="AK77" s="49">
        <f>2202.4-700</f>
        <v>1502.4</v>
      </c>
      <c r="AL77" s="39">
        <f t="shared" si="28"/>
        <v>1502.4</v>
      </c>
    </row>
    <row r="78" spans="1:38" s="18" customFormat="1" ht="20.399999999999999" x14ac:dyDescent="0.25">
      <c r="A78" s="46">
        <v>16210</v>
      </c>
      <c r="B78" s="45" t="s">
        <v>223</v>
      </c>
      <c r="C78" s="43">
        <v>45454.9</v>
      </c>
      <c r="D78" s="43">
        <f t="shared" si="19"/>
        <v>3787.9083333333333</v>
      </c>
      <c r="E78" s="43">
        <v>2538.8000000000002</v>
      </c>
      <c r="F78" s="43">
        <v>2656</v>
      </c>
      <c r="G78" s="43">
        <f t="shared" si="20"/>
        <v>10590.991700000002</v>
      </c>
      <c r="H78" s="44">
        <f t="shared" si="30"/>
        <v>2.8627298550596158E-2</v>
      </c>
      <c r="I78" s="43">
        <v>5480.2</v>
      </c>
      <c r="J78" s="43"/>
      <c r="K78" s="43"/>
      <c r="L78" s="43">
        <f t="shared" si="29"/>
        <v>5480.2</v>
      </c>
      <c r="M78" s="43">
        <v>5480.2</v>
      </c>
      <c r="N78" s="43">
        <f t="shared" si="21"/>
        <v>0</v>
      </c>
      <c r="O78" s="43">
        <f t="shared" si="22"/>
        <v>100</v>
      </c>
      <c r="P78" s="43">
        <v>11889.300000000001</v>
      </c>
      <c r="Q78" s="44">
        <f t="shared" si="23"/>
        <v>4.8508688019734743E-2</v>
      </c>
      <c r="R78" s="43">
        <f t="shared" si="24"/>
        <v>3008.4588670352887</v>
      </c>
      <c r="S78" s="43"/>
      <c r="T78" s="43"/>
      <c r="U78" s="43"/>
      <c r="V78" s="43"/>
      <c r="W78" s="43"/>
      <c r="X78" s="43">
        <f t="shared" si="25"/>
        <v>3008.4588670352887</v>
      </c>
      <c r="Y78" s="43">
        <v>3199</v>
      </c>
      <c r="Z78" s="43">
        <f t="shared" si="31"/>
        <v>3199</v>
      </c>
      <c r="AA78" s="43"/>
      <c r="AB78" s="43"/>
      <c r="AC78" s="43"/>
      <c r="AD78" s="43">
        <f t="shared" si="26"/>
        <v>3199</v>
      </c>
      <c r="AE78" s="43">
        <v>4958.2</v>
      </c>
      <c r="AF78" s="43"/>
      <c r="AG78" s="43"/>
      <c r="AH78" s="42">
        <f t="shared" si="27"/>
        <v>4958.2</v>
      </c>
      <c r="AI78" s="41">
        <f>3200+2500</f>
        <v>5700</v>
      </c>
      <c r="AJ78" s="40">
        <v>5700</v>
      </c>
      <c r="AK78" s="49">
        <f>5949.2-1500</f>
        <v>4449.2</v>
      </c>
      <c r="AL78" s="39">
        <f t="shared" si="28"/>
        <v>4449.2</v>
      </c>
    </row>
    <row r="79" spans="1:38" s="18" customFormat="1" ht="20.399999999999999" x14ac:dyDescent="0.25">
      <c r="A79" s="46">
        <v>16310</v>
      </c>
      <c r="B79" s="45" t="s">
        <v>222</v>
      </c>
      <c r="C79" s="43">
        <f>19551.3+19533.3</f>
        <v>39084.6</v>
      </c>
      <c r="D79" s="43">
        <f t="shared" si="19"/>
        <v>3257.0499999999997</v>
      </c>
      <c r="E79" s="43">
        <v>2813.2</v>
      </c>
      <c r="F79" s="43">
        <v>4201.6000000000004</v>
      </c>
      <c r="G79" s="43">
        <f t="shared" si="20"/>
        <v>9106.7118000000009</v>
      </c>
      <c r="H79" s="44">
        <f t="shared" si="30"/>
        <v>3.8656882627381595E-2</v>
      </c>
      <c r="I79" s="43">
        <f>7990664.7*H79/100</f>
        <v>3088.9418742266134</v>
      </c>
      <c r="J79" s="43"/>
      <c r="K79" s="43"/>
      <c r="L79" s="43">
        <f t="shared" si="29"/>
        <v>3088.9418742266134</v>
      </c>
      <c r="M79" s="43">
        <v>493.9</v>
      </c>
      <c r="N79" s="43">
        <f t="shared" si="21"/>
        <v>-2595.0418742266133</v>
      </c>
      <c r="O79" s="43">
        <f t="shared" si="22"/>
        <v>15.989294072542529</v>
      </c>
      <c r="P79" s="43">
        <v>10554.7</v>
      </c>
      <c r="Q79" s="44">
        <f t="shared" si="23"/>
        <v>4.306348140276503E-2</v>
      </c>
      <c r="R79" s="43">
        <f t="shared" si="24"/>
        <v>2670.7527612136419</v>
      </c>
      <c r="S79" s="43"/>
      <c r="T79" s="43"/>
      <c r="U79" s="43"/>
      <c r="V79" s="43"/>
      <c r="W79" s="43"/>
      <c r="X79" s="43">
        <f t="shared" si="25"/>
        <v>2670.7527612136419</v>
      </c>
      <c r="Y79" s="43">
        <v>2157</v>
      </c>
      <c r="Z79" s="43">
        <f t="shared" si="31"/>
        <v>2157</v>
      </c>
      <c r="AA79" s="43"/>
      <c r="AB79" s="43"/>
      <c r="AC79" s="43"/>
      <c r="AD79" s="43">
        <f t="shared" si="26"/>
        <v>2157</v>
      </c>
      <c r="AE79" s="43">
        <v>4171.1000000000004</v>
      </c>
      <c r="AF79" s="43"/>
      <c r="AG79" s="43"/>
      <c r="AH79" s="42">
        <f t="shared" si="27"/>
        <v>4171.1000000000004</v>
      </c>
      <c r="AI79" s="41">
        <v>3259.3</v>
      </c>
      <c r="AJ79" s="40">
        <v>2562.3000000000002</v>
      </c>
      <c r="AK79" s="49">
        <f>5720.9-3000</f>
        <v>2720.8999999999996</v>
      </c>
      <c r="AL79" s="39">
        <f t="shared" si="28"/>
        <v>2720.8999999999996</v>
      </c>
    </row>
    <row r="80" spans="1:38" s="18" customFormat="1" ht="20.399999999999999" x14ac:dyDescent="0.25">
      <c r="A80" s="46">
        <v>16320</v>
      </c>
      <c r="B80" s="45" t="s">
        <v>221</v>
      </c>
      <c r="C80" s="43">
        <v>888277.7</v>
      </c>
      <c r="D80" s="43">
        <f t="shared" si="19"/>
        <v>74023.141666666663</v>
      </c>
      <c r="E80" s="43">
        <v>67551.3</v>
      </c>
      <c r="F80" s="43">
        <v>107568.8</v>
      </c>
      <c r="G80" s="43">
        <f t="shared" si="20"/>
        <v>206968.7041</v>
      </c>
      <c r="H80" s="44">
        <f t="shared" si="30"/>
        <v>0.96504492664015051</v>
      </c>
      <c r="I80" s="43">
        <f>7990664.7*H80/100</f>
        <v>77113.504292175407</v>
      </c>
      <c r="J80" s="43"/>
      <c r="K80" s="43"/>
      <c r="L80" s="43">
        <f t="shared" si="29"/>
        <v>77113.504292175407</v>
      </c>
      <c r="M80" s="43">
        <v>23562.9</v>
      </c>
      <c r="N80" s="43">
        <f t="shared" si="21"/>
        <v>-53550.604292175405</v>
      </c>
      <c r="O80" s="43">
        <f t="shared" si="22"/>
        <v>30.556126603613443</v>
      </c>
      <c r="P80" s="43">
        <v>230395.99999999997</v>
      </c>
      <c r="Q80" s="44">
        <f t="shared" si="23"/>
        <v>0.94002234656327988</v>
      </c>
      <c r="R80" s="43">
        <f t="shared" si="24"/>
        <v>58299.217710837656</v>
      </c>
      <c r="S80" s="43"/>
      <c r="T80" s="43"/>
      <c r="U80" s="43"/>
      <c r="V80" s="43"/>
      <c r="W80" s="43"/>
      <c r="X80" s="43">
        <f t="shared" si="25"/>
        <v>58299.217710837656</v>
      </c>
      <c r="Y80" s="43">
        <v>58540</v>
      </c>
      <c r="Z80" s="43">
        <f t="shared" si="31"/>
        <v>58540</v>
      </c>
      <c r="AA80" s="43"/>
      <c r="AB80" s="43"/>
      <c r="AC80" s="43"/>
      <c r="AD80" s="43">
        <f t="shared" si="26"/>
        <v>58540</v>
      </c>
      <c r="AE80" s="43">
        <v>98432.5</v>
      </c>
      <c r="AF80" s="43"/>
      <c r="AG80" s="43"/>
      <c r="AH80" s="42">
        <f t="shared" si="27"/>
        <v>98432.5</v>
      </c>
      <c r="AI80" s="41">
        <v>72087.600000000006</v>
      </c>
      <c r="AJ80" s="40">
        <v>61578.1</v>
      </c>
      <c r="AK80" s="49">
        <f>74763.5-11000</f>
        <v>63763.5</v>
      </c>
      <c r="AL80" s="39">
        <f t="shared" si="28"/>
        <v>63763.5</v>
      </c>
    </row>
    <row r="81" spans="1:38" s="18" customFormat="1" ht="13.2" x14ac:dyDescent="0.25">
      <c r="A81" s="46">
        <v>17110</v>
      </c>
      <c r="B81" s="45" t="s">
        <v>220</v>
      </c>
      <c r="C81" s="43">
        <f>137196+17927.4</f>
        <v>155123.4</v>
      </c>
      <c r="D81" s="43">
        <f t="shared" si="19"/>
        <v>12926.949999999999</v>
      </c>
      <c r="E81" s="43">
        <v>12049.7</v>
      </c>
      <c r="F81" s="43">
        <v>12640.4</v>
      </c>
      <c r="G81" s="43">
        <f t="shared" si="20"/>
        <v>36143.752200000003</v>
      </c>
      <c r="H81" s="44">
        <f t="shared" si="30"/>
        <v>0.13606122737046161</v>
      </c>
      <c r="I81" s="43">
        <v>11307.7</v>
      </c>
      <c r="J81" s="43"/>
      <c r="K81" s="43"/>
      <c r="L81" s="43">
        <f t="shared" si="29"/>
        <v>11307.7</v>
      </c>
      <c r="M81" s="43">
        <v>10307.700000000001</v>
      </c>
      <c r="N81" s="43">
        <f t="shared" si="21"/>
        <v>-1000</v>
      </c>
      <c r="O81" s="43">
        <f t="shared" si="22"/>
        <v>91.15646860104178</v>
      </c>
      <c r="P81" s="43">
        <v>40555.199999999997</v>
      </c>
      <c r="Q81" s="44">
        <f t="shared" si="23"/>
        <v>0.16546638947439682</v>
      </c>
      <c r="R81" s="43">
        <f t="shared" si="24"/>
        <v>10262.055044820932</v>
      </c>
      <c r="S81" s="43"/>
      <c r="T81" s="43"/>
      <c r="U81" s="43"/>
      <c r="V81" s="43"/>
      <c r="W81" s="43"/>
      <c r="X81" s="43">
        <f t="shared" si="25"/>
        <v>10262.055044820932</v>
      </c>
      <c r="Y81" s="43">
        <v>12095</v>
      </c>
      <c r="Z81" s="43">
        <f t="shared" si="31"/>
        <v>12095</v>
      </c>
      <c r="AA81" s="43"/>
      <c r="AB81" s="43"/>
      <c r="AC81" s="43"/>
      <c r="AD81" s="43">
        <f t="shared" si="26"/>
        <v>12095</v>
      </c>
      <c r="AE81" s="43">
        <f>19339.8-6000</f>
        <v>13339.8</v>
      </c>
      <c r="AF81" s="43"/>
      <c r="AG81" s="43"/>
      <c r="AH81" s="42">
        <f t="shared" si="27"/>
        <v>13339.8</v>
      </c>
      <c r="AI81" s="41">
        <v>13006.1</v>
      </c>
      <c r="AJ81" s="40">
        <v>19114.900000000001</v>
      </c>
      <c r="AK81" s="49">
        <f>15914.8-2000</f>
        <v>13914.8</v>
      </c>
      <c r="AL81" s="39">
        <f t="shared" si="28"/>
        <v>13914.8</v>
      </c>
    </row>
    <row r="82" spans="1:38" s="18" customFormat="1" ht="13.2" x14ac:dyDescent="0.25">
      <c r="A82" s="46">
        <v>17120</v>
      </c>
      <c r="B82" s="45" t="s">
        <v>219</v>
      </c>
      <c r="C82" s="43">
        <f>77787.4+8872.6</f>
        <v>86660</v>
      </c>
      <c r="D82" s="43">
        <f t="shared" si="19"/>
        <v>7221.666666666667</v>
      </c>
      <c r="E82" s="43">
        <v>6684.7</v>
      </c>
      <c r="F82" s="43">
        <v>7388.3</v>
      </c>
      <c r="G82" s="43">
        <f t="shared" si="20"/>
        <v>20191.78</v>
      </c>
      <c r="H82" s="44">
        <f t="shared" si="30"/>
        <v>7.7552932259671151E-2</v>
      </c>
      <c r="I82" s="43">
        <f>7990664.7*H82/100+1024.7</f>
        <v>7221.6947818884555</v>
      </c>
      <c r="J82" s="43"/>
      <c r="K82" s="43"/>
      <c r="L82" s="43">
        <f t="shared" si="29"/>
        <v>7221.6947818884555</v>
      </c>
      <c r="M82" s="43">
        <v>6220.9</v>
      </c>
      <c r="N82" s="43">
        <f t="shared" si="21"/>
        <v>-1000.7947818884559</v>
      </c>
      <c r="O82" s="43">
        <f t="shared" si="22"/>
        <v>86.141829416574296</v>
      </c>
      <c r="P82" s="43">
        <v>22632.799999999996</v>
      </c>
      <c r="Q82" s="44">
        <f t="shared" si="23"/>
        <v>9.234247888547284E-2</v>
      </c>
      <c r="R82" s="43">
        <f t="shared" si="24"/>
        <v>5726.9854277237737</v>
      </c>
      <c r="S82" s="43"/>
      <c r="T82" s="43"/>
      <c r="U82" s="43"/>
      <c r="V82" s="43"/>
      <c r="W82" s="43"/>
      <c r="X82" s="43">
        <f t="shared" si="25"/>
        <v>5726.9854277237737</v>
      </c>
      <c r="Y82" s="43">
        <v>6987</v>
      </c>
      <c r="Z82" s="43">
        <f t="shared" si="31"/>
        <v>6987</v>
      </c>
      <c r="AA82" s="43"/>
      <c r="AB82" s="43"/>
      <c r="AC82" s="43"/>
      <c r="AD82" s="43">
        <f t="shared" si="26"/>
        <v>6987</v>
      </c>
      <c r="AE82" s="43">
        <f>9988.4-2000</f>
        <v>7988.4</v>
      </c>
      <c r="AF82" s="43"/>
      <c r="AG82" s="43"/>
      <c r="AH82" s="42">
        <f t="shared" si="27"/>
        <v>7988.4</v>
      </c>
      <c r="AI82" s="41">
        <v>5833.6</v>
      </c>
      <c r="AJ82" s="40">
        <v>8536.2000000000007</v>
      </c>
      <c r="AK82" s="49">
        <f>9699.3-2000</f>
        <v>7699.2999999999993</v>
      </c>
      <c r="AL82" s="39">
        <f t="shared" si="28"/>
        <v>7699.2999999999993</v>
      </c>
    </row>
    <row r="83" spans="1:38" s="18" customFormat="1" ht="20.399999999999999" x14ac:dyDescent="0.25">
      <c r="A83" s="46">
        <v>18110</v>
      </c>
      <c r="B83" s="45" t="s">
        <v>218</v>
      </c>
      <c r="C83" s="43">
        <v>74016.100000000006</v>
      </c>
      <c r="D83" s="43">
        <f t="shared" si="19"/>
        <v>6168.0083333333341</v>
      </c>
      <c r="E83" s="43">
        <v>6063.8</v>
      </c>
      <c r="F83" s="43">
        <v>6066</v>
      </c>
      <c r="G83" s="43">
        <f t="shared" si="20"/>
        <v>17245.7513</v>
      </c>
      <c r="H83" s="44">
        <f t="shared" si="30"/>
        <v>6.6844422491534078E-2</v>
      </c>
      <c r="I83" s="43">
        <v>5194.3999999999996</v>
      </c>
      <c r="J83" s="43"/>
      <c r="K83" s="43"/>
      <c r="L83" s="43">
        <f t="shared" si="29"/>
        <v>5194.3999999999996</v>
      </c>
      <c r="M83" s="43">
        <v>5027.5</v>
      </c>
      <c r="N83" s="43">
        <f t="shared" si="21"/>
        <v>-166.89999999999964</v>
      </c>
      <c r="O83" s="43">
        <f t="shared" si="22"/>
        <v>96.786924380101652</v>
      </c>
      <c r="P83" s="43">
        <v>19241.999999999996</v>
      </c>
      <c r="Q83" s="44">
        <f t="shared" si="23"/>
        <v>7.8507916771865097E-2</v>
      </c>
      <c r="R83" s="43">
        <f t="shared" si="24"/>
        <v>4868.9801350367979</v>
      </c>
      <c r="S83" s="43"/>
      <c r="T83" s="43"/>
      <c r="U83" s="43"/>
      <c r="V83" s="43"/>
      <c r="W83" s="43"/>
      <c r="X83" s="43">
        <f t="shared" si="25"/>
        <v>4868.9801350367979</v>
      </c>
      <c r="Y83" s="43">
        <v>5830</v>
      </c>
      <c r="Z83" s="43">
        <f t="shared" si="31"/>
        <v>5830</v>
      </c>
      <c r="AA83" s="43"/>
      <c r="AB83" s="43"/>
      <c r="AC83" s="43"/>
      <c r="AD83" s="43">
        <f t="shared" si="26"/>
        <v>5830</v>
      </c>
      <c r="AE83" s="43">
        <v>7130.4</v>
      </c>
      <c r="AF83" s="43"/>
      <c r="AG83" s="43"/>
      <c r="AH83" s="42">
        <f t="shared" si="27"/>
        <v>7130.4</v>
      </c>
      <c r="AI83" s="41">
        <v>5671.7</v>
      </c>
      <c r="AJ83" s="40">
        <v>6098.1</v>
      </c>
      <c r="AK83" s="49">
        <f>5700-700</f>
        <v>5000</v>
      </c>
      <c r="AL83" s="39">
        <f t="shared" si="28"/>
        <v>5000</v>
      </c>
    </row>
    <row r="84" spans="1:38" s="18" customFormat="1" ht="20.399999999999999" x14ac:dyDescent="0.25">
      <c r="A84" s="46">
        <v>18120</v>
      </c>
      <c r="B84" s="45" t="s">
        <v>217</v>
      </c>
      <c r="C84" s="43">
        <v>263112.5</v>
      </c>
      <c r="D84" s="43">
        <f t="shared" si="19"/>
        <v>21926.041666666668</v>
      </c>
      <c r="E84" s="43">
        <v>690.5</v>
      </c>
      <c r="F84" s="43">
        <v>27251.4</v>
      </c>
      <c r="G84" s="43">
        <f t="shared" si="20"/>
        <v>61305.212500000001</v>
      </c>
      <c r="H84" s="44">
        <f t="shared" si="30"/>
        <v>0.1539811183050171</v>
      </c>
      <c r="I84" s="43">
        <v>19621.099999999999</v>
      </c>
      <c r="J84" s="43"/>
      <c r="K84" s="43"/>
      <c r="L84" s="43">
        <f t="shared" si="29"/>
        <v>19621.099999999999</v>
      </c>
      <c r="M84" s="43">
        <v>1461.5</v>
      </c>
      <c r="N84" s="43">
        <f t="shared" si="21"/>
        <v>-18159.599999999999</v>
      </c>
      <c r="O84" s="43">
        <f t="shared" si="22"/>
        <v>7.4486139920799559</v>
      </c>
      <c r="P84" s="43">
        <v>70824.2</v>
      </c>
      <c r="Q84" s="44">
        <f t="shared" si="23"/>
        <v>0.28896478531514025</v>
      </c>
      <c r="R84" s="43">
        <f t="shared" si="24"/>
        <v>17921.298351516121</v>
      </c>
      <c r="S84" s="43"/>
      <c r="T84" s="43"/>
      <c r="U84" s="43"/>
      <c r="V84" s="43"/>
      <c r="W84" s="43"/>
      <c r="X84" s="43">
        <f t="shared" si="25"/>
        <v>17921.298351516121</v>
      </c>
      <c r="Y84" s="43">
        <v>8430</v>
      </c>
      <c r="Z84" s="43">
        <f t="shared" si="31"/>
        <v>8430</v>
      </c>
      <c r="AA84" s="43"/>
      <c r="AB84" s="43"/>
      <c r="AC84" s="43"/>
      <c r="AD84" s="43">
        <f t="shared" si="26"/>
        <v>8430</v>
      </c>
      <c r="AE84" s="43">
        <f>36789.6/1.5-22000</f>
        <v>2526.3999999999978</v>
      </c>
      <c r="AF84" s="43"/>
      <c r="AG84" s="43"/>
      <c r="AH84" s="42">
        <f t="shared" si="27"/>
        <v>2526.3999999999978</v>
      </c>
      <c r="AI84" s="41">
        <v>2526.4</v>
      </c>
      <c r="AJ84" s="40">
        <v>2526.4</v>
      </c>
      <c r="AK84" s="49">
        <f>100000-97500</f>
        <v>2500</v>
      </c>
      <c r="AL84" s="39">
        <f t="shared" si="28"/>
        <v>2500</v>
      </c>
    </row>
    <row r="85" spans="1:38" s="18" customFormat="1" ht="13.2" x14ac:dyDescent="0.25">
      <c r="A85" s="46">
        <v>19110</v>
      </c>
      <c r="B85" s="45" t="s">
        <v>216</v>
      </c>
      <c r="C85" s="43">
        <v>84964.3</v>
      </c>
      <c r="D85" s="43">
        <f t="shared" si="19"/>
        <v>7080.3583333333336</v>
      </c>
      <c r="E85" s="43">
        <v>8472.2999999999993</v>
      </c>
      <c r="F85" s="43">
        <v>8505.2999999999993</v>
      </c>
      <c r="G85" s="43">
        <f t="shared" si="20"/>
        <v>19796.681900000003</v>
      </c>
      <c r="H85" s="44">
        <f t="shared" si="30"/>
        <v>9.3559487154962886E-2</v>
      </c>
      <c r="I85" s="43">
        <v>2517.1</v>
      </c>
      <c r="J85" s="43"/>
      <c r="K85" s="43">
        <v>6763.3</v>
      </c>
      <c r="L85" s="43">
        <f t="shared" si="29"/>
        <v>9280.4</v>
      </c>
      <c r="M85" s="43">
        <v>9280.4</v>
      </c>
      <c r="N85" s="43">
        <f t="shared" si="21"/>
        <v>0</v>
      </c>
      <c r="O85" s="43">
        <f t="shared" si="22"/>
        <v>100</v>
      </c>
      <c r="P85" s="43">
        <v>29746.800000000003</v>
      </c>
      <c r="Q85" s="44">
        <f t="shared" si="23"/>
        <v>0.12136780473076174</v>
      </c>
      <c r="R85" s="43">
        <f t="shared" si="24"/>
        <v>7527.10624056297</v>
      </c>
      <c r="S85" s="43"/>
      <c r="T85" s="43"/>
      <c r="U85" s="43"/>
      <c r="V85" s="43"/>
      <c r="W85" s="43"/>
      <c r="X85" s="43">
        <f t="shared" si="25"/>
        <v>7527.10624056297</v>
      </c>
      <c r="Y85" s="43">
        <v>8395</v>
      </c>
      <c r="Z85" s="43">
        <f t="shared" si="31"/>
        <v>8395</v>
      </c>
      <c r="AA85" s="43"/>
      <c r="AB85" s="43"/>
      <c r="AC85" s="43"/>
      <c r="AD85" s="43">
        <f t="shared" si="26"/>
        <v>8395</v>
      </c>
      <c r="AE85" s="43">
        <f>17986.9-6000</f>
        <v>11986.900000000001</v>
      </c>
      <c r="AF85" s="43"/>
      <c r="AG85" s="43"/>
      <c r="AH85" s="42">
        <f t="shared" si="27"/>
        <v>11986.900000000001</v>
      </c>
      <c r="AI85" s="41">
        <v>7625.4</v>
      </c>
      <c r="AJ85" s="40">
        <v>7070.8</v>
      </c>
      <c r="AK85" s="49">
        <f>9482.96666666667-2000</f>
        <v>7482.9666666666708</v>
      </c>
      <c r="AL85" s="39">
        <f t="shared" si="28"/>
        <v>7482.9666666666708</v>
      </c>
    </row>
    <row r="86" spans="1:38" s="18" customFormat="1" ht="13.2" x14ac:dyDescent="0.25">
      <c r="A86" s="46">
        <v>19120</v>
      </c>
      <c r="B86" s="45" t="s">
        <v>215</v>
      </c>
      <c r="C86" s="43">
        <v>343427.1</v>
      </c>
      <c r="D86" s="43">
        <f t="shared" si="19"/>
        <v>28618.924999999999</v>
      </c>
      <c r="E86" s="43">
        <v>36904</v>
      </c>
      <c r="F86" s="43">
        <v>37437.599999999999</v>
      </c>
      <c r="G86" s="43">
        <f t="shared" si="20"/>
        <v>80018.514299999995</v>
      </c>
      <c r="H86" s="44">
        <f t="shared" si="30"/>
        <v>0.40967875143008375</v>
      </c>
      <c r="I86" s="43">
        <v>6460</v>
      </c>
      <c r="J86" s="43"/>
      <c r="K86" s="43">
        <v>28682.5</v>
      </c>
      <c r="L86" s="43">
        <f t="shared" si="29"/>
        <v>35142.5</v>
      </c>
      <c r="M86" s="43">
        <v>35142.5</v>
      </c>
      <c r="N86" s="43">
        <f t="shared" si="21"/>
        <v>0</v>
      </c>
      <c r="O86" s="43">
        <f t="shared" si="22"/>
        <v>100</v>
      </c>
      <c r="P86" s="43">
        <v>121419.4</v>
      </c>
      <c r="Q86" s="44">
        <f t="shared" si="23"/>
        <v>0.49539466529933468</v>
      </c>
      <c r="R86" s="43">
        <f t="shared" si="24"/>
        <v>30723.866885359479</v>
      </c>
      <c r="S86" s="43"/>
      <c r="T86" s="43"/>
      <c r="U86" s="43"/>
      <c r="V86" s="43"/>
      <c r="W86" s="43"/>
      <c r="X86" s="43">
        <f t="shared" si="25"/>
        <v>30723.866885359479</v>
      </c>
      <c r="Y86" s="43">
        <v>37910</v>
      </c>
      <c r="Z86" s="43">
        <f t="shared" si="31"/>
        <v>37910</v>
      </c>
      <c r="AA86" s="43"/>
      <c r="AB86" s="43"/>
      <c r="AC86" s="43"/>
      <c r="AD86" s="43">
        <f t="shared" si="26"/>
        <v>37910</v>
      </c>
      <c r="AE86" s="43">
        <f>71082.1-31000</f>
        <v>40082.100000000006</v>
      </c>
      <c r="AF86" s="43"/>
      <c r="AG86" s="43"/>
      <c r="AH86" s="42">
        <f t="shared" si="27"/>
        <v>40082.100000000006</v>
      </c>
      <c r="AI86" s="41">
        <v>35498</v>
      </c>
      <c r="AJ86" s="40">
        <v>27356.5</v>
      </c>
      <c r="AK86" s="49">
        <v>30320.05</v>
      </c>
      <c r="AL86" s="39">
        <f t="shared" si="28"/>
        <v>30320.05</v>
      </c>
    </row>
    <row r="87" spans="1:38" s="18" customFormat="1" ht="13.2" x14ac:dyDescent="0.25">
      <c r="A87" s="46">
        <v>20110</v>
      </c>
      <c r="B87" s="45" t="s">
        <v>214</v>
      </c>
      <c r="C87" s="43">
        <v>23743</v>
      </c>
      <c r="D87" s="43">
        <f t="shared" si="19"/>
        <v>1978.5833333333333</v>
      </c>
      <c r="E87" s="43">
        <v>1961.7</v>
      </c>
      <c r="F87" s="43">
        <v>3587</v>
      </c>
      <c r="G87" s="43">
        <f t="shared" si="20"/>
        <v>5532.1190000000006</v>
      </c>
      <c r="H87" s="44">
        <f t="shared" si="30"/>
        <v>3.0577556685087565E-2</v>
      </c>
      <c r="I87" s="43">
        <v>1661.5</v>
      </c>
      <c r="J87" s="43"/>
      <c r="K87" s="43"/>
      <c r="L87" s="43">
        <f t="shared" si="29"/>
        <v>1661.5</v>
      </c>
      <c r="M87" s="43">
        <v>1661.5</v>
      </c>
      <c r="N87" s="43">
        <f t="shared" si="21"/>
        <v>0</v>
      </c>
      <c r="O87" s="43">
        <f t="shared" si="22"/>
        <v>100</v>
      </c>
      <c r="P87" s="43">
        <v>5629.7</v>
      </c>
      <c r="Q87" s="44">
        <f t="shared" si="23"/>
        <v>2.2969338896713907E-2</v>
      </c>
      <c r="R87" s="43">
        <f t="shared" si="24"/>
        <v>1424.5347399551329</v>
      </c>
      <c r="S87" s="43"/>
      <c r="T87" s="43"/>
      <c r="U87" s="43">
        <v>111</v>
      </c>
      <c r="V87" s="43"/>
      <c r="W87" s="43"/>
      <c r="X87" s="43">
        <f t="shared" si="25"/>
        <v>1535.5347399551329</v>
      </c>
      <c r="Y87" s="43">
        <v>1877</v>
      </c>
      <c r="Z87" s="43">
        <f t="shared" si="31"/>
        <v>1877</v>
      </c>
      <c r="AA87" s="43"/>
      <c r="AB87" s="43"/>
      <c r="AC87" s="43"/>
      <c r="AD87" s="43">
        <f t="shared" si="26"/>
        <v>1877</v>
      </c>
      <c r="AE87" s="43">
        <v>2328.1999999999998</v>
      </c>
      <c r="AF87" s="43"/>
      <c r="AG87" s="43"/>
      <c r="AH87" s="42">
        <f t="shared" si="27"/>
        <v>2328.1999999999998</v>
      </c>
      <c r="AI87" s="41">
        <f>1625.7+153.6</f>
        <v>1779.3</v>
      </c>
      <c r="AJ87" s="40">
        <v>1763.7</v>
      </c>
      <c r="AK87" s="49">
        <v>1748.4</v>
      </c>
      <c r="AL87" s="39">
        <f t="shared" si="28"/>
        <v>1748.4</v>
      </c>
    </row>
    <row r="88" spans="1:38" s="18" customFormat="1" ht="13.2" x14ac:dyDescent="0.25">
      <c r="A88" s="46">
        <v>21110</v>
      </c>
      <c r="B88" s="45" t="s">
        <v>213</v>
      </c>
      <c r="C88" s="43">
        <v>28596.7</v>
      </c>
      <c r="D88" s="43">
        <f t="shared" si="19"/>
        <v>2383.0583333333334</v>
      </c>
      <c r="E88" s="43">
        <v>2382</v>
      </c>
      <c r="F88" s="43">
        <v>2227.9</v>
      </c>
      <c r="G88" s="43">
        <f t="shared" si="20"/>
        <v>6663.0311000000002</v>
      </c>
      <c r="H88" s="44">
        <f t="shared" si="30"/>
        <v>2.5404054744820437E-2</v>
      </c>
      <c r="I88" s="43">
        <v>2004.9</v>
      </c>
      <c r="J88" s="43"/>
      <c r="K88" s="43"/>
      <c r="L88" s="43">
        <f t="shared" si="29"/>
        <v>2004.9</v>
      </c>
      <c r="M88" s="43">
        <v>2004.9</v>
      </c>
      <c r="N88" s="43">
        <f t="shared" si="21"/>
        <v>0</v>
      </c>
      <c r="O88" s="43">
        <f t="shared" si="22"/>
        <v>100</v>
      </c>
      <c r="P88" s="43">
        <v>7587.2999999999993</v>
      </c>
      <c r="Q88" s="44">
        <f t="shared" si="23"/>
        <v>3.095640354033739E-2</v>
      </c>
      <c r="R88" s="43">
        <f t="shared" si="24"/>
        <v>1919.8842624760782</v>
      </c>
      <c r="S88" s="43"/>
      <c r="T88" s="43"/>
      <c r="U88" s="43"/>
      <c r="V88" s="43"/>
      <c r="W88" s="43"/>
      <c r="X88" s="43">
        <f t="shared" si="25"/>
        <v>1919.8842624760782</v>
      </c>
      <c r="Y88" s="43">
        <v>2144</v>
      </c>
      <c r="Z88" s="43">
        <f t="shared" si="31"/>
        <v>2144</v>
      </c>
      <c r="AA88" s="43"/>
      <c r="AB88" s="43"/>
      <c r="AC88" s="43"/>
      <c r="AD88" s="43">
        <f t="shared" si="26"/>
        <v>2144</v>
      </c>
      <c r="AE88" s="43">
        <v>2863.85</v>
      </c>
      <c r="AF88" s="43"/>
      <c r="AG88" s="43"/>
      <c r="AH88" s="42">
        <f t="shared" si="27"/>
        <v>2863.85</v>
      </c>
      <c r="AI88" s="41">
        <v>2300.9</v>
      </c>
      <c r="AJ88" s="40">
        <v>2318.1999999999998</v>
      </c>
      <c r="AK88" s="49">
        <f>4188.5-2000</f>
        <v>2188.5</v>
      </c>
      <c r="AL88" s="39">
        <f t="shared" si="28"/>
        <v>2188.5</v>
      </c>
    </row>
    <row r="89" spans="1:38" s="18" customFormat="1" ht="13.2" x14ac:dyDescent="0.25">
      <c r="A89" s="46">
        <v>22110</v>
      </c>
      <c r="B89" s="45" t="s">
        <v>212</v>
      </c>
      <c r="C89" s="43">
        <v>25091.3</v>
      </c>
      <c r="D89" s="43">
        <f t="shared" si="19"/>
        <v>2090.9416666666666</v>
      </c>
      <c r="E89" s="43">
        <v>2091</v>
      </c>
      <c r="F89" s="43">
        <v>2093</v>
      </c>
      <c r="G89" s="43">
        <f t="shared" si="20"/>
        <v>5846.2728999999999</v>
      </c>
      <c r="H89" s="44">
        <f t="shared" si="30"/>
        <v>2.3057021855643008E-2</v>
      </c>
      <c r="I89" s="43">
        <v>1975.4</v>
      </c>
      <c r="J89" s="43"/>
      <c r="K89" s="43"/>
      <c r="L89" s="43">
        <f t="shared" si="29"/>
        <v>1975.4</v>
      </c>
      <c r="M89" s="43">
        <v>1975.4</v>
      </c>
      <c r="N89" s="43">
        <f t="shared" si="21"/>
        <v>0</v>
      </c>
      <c r="O89" s="43">
        <f t="shared" si="22"/>
        <v>100</v>
      </c>
      <c r="P89" s="43">
        <v>6447.5</v>
      </c>
      <c r="Q89" s="44">
        <f t="shared" si="23"/>
        <v>2.6305986559952203E-2</v>
      </c>
      <c r="R89" s="43">
        <f t="shared" si="24"/>
        <v>1631.4701912820788</v>
      </c>
      <c r="S89" s="43"/>
      <c r="T89" s="43"/>
      <c r="U89" s="43"/>
      <c r="V89" s="43"/>
      <c r="W89" s="43"/>
      <c r="X89" s="43">
        <f t="shared" si="25"/>
        <v>1631.4701912820788</v>
      </c>
      <c r="Y89" s="43">
        <v>2149</v>
      </c>
      <c r="Z89" s="43">
        <f t="shared" si="31"/>
        <v>2149</v>
      </c>
      <c r="AA89" s="43"/>
      <c r="AB89" s="43"/>
      <c r="AC89" s="43"/>
      <c r="AD89" s="43">
        <f t="shared" si="26"/>
        <v>2149</v>
      </c>
      <c r="AE89" s="43">
        <f>3577.5-500</f>
        <v>3077.5</v>
      </c>
      <c r="AF89" s="43">
        <v>343.4</v>
      </c>
      <c r="AG89" s="43"/>
      <c r="AH89" s="42">
        <f t="shared" si="27"/>
        <v>3420.9</v>
      </c>
      <c r="AI89" s="41">
        <v>2026.2</v>
      </c>
      <c r="AJ89" s="40">
        <v>3022.7</v>
      </c>
      <c r="AK89" s="49">
        <v>1811.2</v>
      </c>
      <c r="AL89" s="39">
        <f t="shared" si="28"/>
        <v>1811.2</v>
      </c>
    </row>
    <row r="90" spans="1:38" s="18" customFormat="1" ht="13.2" x14ac:dyDescent="0.25">
      <c r="A90" s="46">
        <v>22120</v>
      </c>
      <c r="B90" s="45" t="s">
        <v>211</v>
      </c>
      <c r="C90" s="43">
        <v>66671.600000000006</v>
      </c>
      <c r="D90" s="43">
        <f t="shared" si="19"/>
        <v>5555.9666666666672</v>
      </c>
      <c r="E90" s="43">
        <v>4722.6000000000004</v>
      </c>
      <c r="F90" s="43">
        <v>5449.8</v>
      </c>
      <c r="G90" s="43">
        <f t="shared" si="20"/>
        <v>15534.482800000003</v>
      </c>
      <c r="H90" s="44">
        <f t="shared" si="30"/>
        <v>5.6057659924556164E-2</v>
      </c>
      <c r="I90" s="43">
        <v>5967.8</v>
      </c>
      <c r="J90" s="43"/>
      <c r="K90" s="43"/>
      <c r="L90" s="43">
        <f t="shared" si="29"/>
        <v>5967.8</v>
      </c>
      <c r="M90" s="43">
        <v>5967.8</v>
      </c>
      <c r="N90" s="43">
        <f t="shared" si="21"/>
        <v>0</v>
      </c>
      <c r="O90" s="43">
        <f t="shared" si="22"/>
        <v>100</v>
      </c>
      <c r="P90" s="43">
        <v>17165.2</v>
      </c>
      <c r="Q90" s="44">
        <f t="shared" si="23"/>
        <v>7.0034512679161165E-2</v>
      </c>
      <c r="R90" s="43">
        <f t="shared" si="24"/>
        <v>4343.4683408135161</v>
      </c>
      <c r="S90" s="43"/>
      <c r="T90" s="43"/>
      <c r="U90" s="43"/>
      <c r="V90" s="43"/>
      <c r="W90" s="43"/>
      <c r="X90" s="43">
        <f t="shared" si="25"/>
        <v>4343.4683408135161</v>
      </c>
      <c r="Y90" s="43">
        <v>5704</v>
      </c>
      <c r="Z90" s="43">
        <f t="shared" si="31"/>
        <v>5704</v>
      </c>
      <c r="AA90" s="43"/>
      <c r="AB90" s="43"/>
      <c r="AC90" s="43"/>
      <c r="AD90" s="43">
        <f t="shared" si="26"/>
        <v>5704</v>
      </c>
      <c r="AE90" s="43">
        <f>7566.3-500</f>
        <v>7066.3</v>
      </c>
      <c r="AF90" s="43"/>
      <c r="AG90" s="43"/>
      <c r="AH90" s="42">
        <f t="shared" si="27"/>
        <v>7066.3</v>
      </c>
      <c r="AI90" s="41">
        <v>5569.5</v>
      </c>
      <c r="AJ90" s="40">
        <v>6658</v>
      </c>
      <c r="AK90" s="49">
        <v>5204.3999999999996</v>
      </c>
      <c r="AL90" s="39">
        <f t="shared" si="28"/>
        <v>5204.3999999999996</v>
      </c>
    </row>
    <row r="91" spans="1:38" s="18" customFormat="1" ht="20.399999999999999" x14ac:dyDescent="0.25">
      <c r="A91" s="46">
        <v>22210</v>
      </c>
      <c r="B91" s="45" t="s">
        <v>210</v>
      </c>
      <c r="C91" s="43">
        <v>31888.7</v>
      </c>
      <c r="D91" s="43">
        <f t="shared" si="19"/>
        <v>2657.3916666666669</v>
      </c>
      <c r="E91" s="43">
        <v>3312.2</v>
      </c>
      <c r="F91" s="43">
        <v>1542</v>
      </c>
      <c r="G91" s="43">
        <f t="shared" si="20"/>
        <v>7430.0671000000011</v>
      </c>
      <c r="H91" s="44">
        <f t="shared" si="30"/>
        <v>2.6750333530512021E-2</v>
      </c>
      <c r="I91" s="43">
        <f>7990664.7*H91/100</f>
        <v>2137.5294585548882</v>
      </c>
      <c r="J91" s="43"/>
      <c r="K91" s="43"/>
      <c r="L91" s="43">
        <f t="shared" si="29"/>
        <v>2137.5294585548882</v>
      </c>
      <c r="M91" s="43">
        <v>2137.5</v>
      </c>
      <c r="N91" s="43">
        <f t="shared" si="21"/>
        <v>-2.9458554888151411E-2</v>
      </c>
      <c r="O91" s="43">
        <f t="shared" si="22"/>
        <v>99.998621840987028</v>
      </c>
      <c r="P91" s="43">
        <v>8222.6</v>
      </c>
      <c r="Q91" s="44">
        <f t="shared" si="23"/>
        <v>3.3548445922894611E-2</v>
      </c>
      <c r="R91" s="43">
        <f t="shared" si="24"/>
        <v>2080.6400612386233</v>
      </c>
      <c r="S91" s="43"/>
      <c r="T91" s="43"/>
      <c r="U91" s="43"/>
      <c r="V91" s="43"/>
      <c r="W91" s="43"/>
      <c r="X91" s="43">
        <f t="shared" si="25"/>
        <v>2080.6400612386233</v>
      </c>
      <c r="Y91" s="43">
        <v>2711</v>
      </c>
      <c r="Z91" s="43">
        <f t="shared" si="31"/>
        <v>2711</v>
      </c>
      <c r="AA91" s="43"/>
      <c r="AB91" s="43"/>
      <c r="AC91" s="43"/>
      <c r="AD91" s="43">
        <f t="shared" si="26"/>
        <v>2711</v>
      </c>
      <c r="AE91" s="43">
        <f>4482.1-1000</f>
        <v>3482.1000000000004</v>
      </c>
      <c r="AF91" s="43"/>
      <c r="AG91" s="43"/>
      <c r="AH91" s="42">
        <f t="shared" si="27"/>
        <v>3482.1000000000004</v>
      </c>
      <c r="AI91" s="41">
        <v>2716.5</v>
      </c>
      <c r="AJ91" s="40">
        <v>3003.1</v>
      </c>
      <c r="AK91" s="49">
        <f>4742.4-1500-1000</f>
        <v>2242.3999999999996</v>
      </c>
      <c r="AL91" s="39">
        <f t="shared" si="28"/>
        <v>2242.3999999999996</v>
      </c>
    </row>
    <row r="92" spans="1:38" s="18" customFormat="1" ht="13.2" x14ac:dyDescent="0.25">
      <c r="A92" s="46">
        <v>23110</v>
      </c>
      <c r="B92" s="45" t="s">
        <v>209</v>
      </c>
      <c r="C92" s="43">
        <v>40539.699999999997</v>
      </c>
      <c r="D92" s="43">
        <f t="shared" si="19"/>
        <v>3378.3083333333329</v>
      </c>
      <c r="E92" s="43">
        <v>3242.7</v>
      </c>
      <c r="F92" s="43">
        <v>3051</v>
      </c>
      <c r="G92" s="43">
        <f t="shared" si="20"/>
        <v>9445.7500999999993</v>
      </c>
      <c r="H92" s="44">
        <f t="shared" si="30"/>
        <v>3.4683073243991495E-2</v>
      </c>
      <c r="I92" s="43">
        <v>3099.8</v>
      </c>
      <c r="J92" s="43"/>
      <c r="K92" s="43"/>
      <c r="L92" s="43">
        <f t="shared" si="29"/>
        <v>3099.8</v>
      </c>
      <c r="M92" s="43">
        <v>3099.8</v>
      </c>
      <c r="N92" s="43">
        <f t="shared" si="21"/>
        <v>0</v>
      </c>
      <c r="O92" s="43">
        <f t="shared" si="22"/>
        <v>100</v>
      </c>
      <c r="P92" s="43">
        <v>10589.599999999999</v>
      </c>
      <c r="Q92" s="44">
        <f t="shared" si="23"/>
        <v>4.3205874412604858E-2</v>
      </c>
      <c r="R92" s="43">
        <f t="shared" si="24"/>
        <v>2679.5838290191082</v>
      </c>
      <c r="S92" s="43"/>
      <c r="T92" s="43"/>
      <c r="U92" s="43"/>
      <c r="V92" s="43"/>
      <c r="W92" s="43"/>
      <c r="X92" s="43">
        <f t="shared" si="25"/>
        <v>2679.5838290191082</v>
      </c>
      <c r="Y92" s="43">
        <v>3530</v>
      </c>
      <c r="Z92" s="43">
        <f t="shared" si="31"/>
        <v>3530</v>
      </c>
      <c r="AA92" s="43"/>
      <c r="AB92" s="43"/>
      <c r="AC92" s="43"/>
      <c r="AD92" s="43">
        <f t="shared" si="26"/>
        <v>3530</v>
      </c>
      <c r="AE92" s="43">
        <v>4380</v>
      </c>
      <c r="AF92" s="43"/>
      <c r="AG92" s="43"/>
      <c r="AH92" s="42">
        <f t="shared" si="27"/>
        <v>4380</v>
      </c>
      <c r="AI92" s="41">
        <v>2370</v>
      </c>
      <c r="AJ92" s="40">
        <v>3348.8</v>
      </c>
      <c r="AK92" s="49">
        <f>4327.6-1000</f>
        <v>3327.6000000000004</v>
      </c>
      <c r="AL92" s="39">
        <f t="shared" si="28"/>
        <v>3327.6000000000004</v>
      </c>
    </row>
    <row r="93" spans="1:38" s="18" customFormat="1" ht="20.399999999999999" x14ac:dyDescent="0.25">
      <c r="A93" s="46">
        <v>23120</v>
      </c>
      <c r="B93" s="45" t="s">
        <v>208</v>
      </c>
      <c r="C93" s="43">
        <v>1578.1</v>
      </c>
      <c r="D93" s="43">
        <f t="shared" si="19"/>
        <v>131.50833333333333</v>
      </c>
      <c r="E93" s="43">
        <v>131.5</v>
      </c>
      <c r="F93" s="43">
        <v>131.5</v>
      </c>
      <c r="G93" s="43">
        <f t="shared" si="20"/>
        <v>367.69729999999998</v>
      </c>
      <c r="H93" s="44">
        <f t="shared" si="30"/>
        <v>1.4493300067003135E-3</v>
      </c>
      <c r="I93" s="43">
        <v>111</v>
      </c>
      <c r="J93" s="43"/>
      <c r="K93" s="43"/>
      <c r="L93" s="43">
        <f t="shared" si="29"/>
        <v>111</v>
      </c>
      <c r="M93" s="43">
        <v>111</v>
      </c>
      <c r="N93" s="43">
        <f t="shared" si="21"/>
        <v>0</v>
      </c>
      <c r="O93" s="43">
        <f t="shared" si="22"/>
        <v>100</v>
      </c>
      <c r="P93" s="43">
        <v>408.29999999999995</v>
      </c>
      <c r="Q93" s="44">
        <f t="shared" si="23"/>
        <v>1.6658758142580046E-3</v>
      </c>
      <c r="R93" s="43">
        <f t="shared" si="24"/>
        <v>103.31590214819276</v>
      </c>
      <c r="S93" s="43"/>
      <c r="T93" s="43"/>
      <c r="U93" s="43"/>
      <c r="V93" s="43"/>
      <c r="W93" s="43"/>
      <c r="X93" s="43">
        <f t="shared" si="25"/>
        <v>103.31590214819276</v>
      </c>
      <c r="Y93" s="43">
        <v>136</v>
      </c>
      <c r="Z93" s="43">
        <f t="shared" si="31"/>
        <v>136</v>
      </c>
      <c r="AA93" s="43"/>
      <c r="AB93" s="43"/>
      <c r="AC93" s="43"/>
      <c r="AD93" s="43">
        <f t="shared" si="26"/>
        <v>136</v>
      </c>
      <c r="AE93" s="43">
        <v>169</v>
      </c>
      <c r="AF93" s="43"/>
      <c r="AG93" s="43"/>
      <c r="AH93" s="42">
        <f t="shared" si="27"/>
        <v>169</v>
      </c>
      <c r="AI93" s="41">
        <v>136</v>
      </c>
      <c r="AJ93" s="40">
        <v>129.19999999999999</v>
      </c>
      <c r="AK93" s="49">
        <v>122.4</v>
      </c>
      <c r="AL93" s="39">
        <f t="shared" si="28"/>
        <v>122.4</v>
      </c>
    </row>
    <row r="94" spans="1:38" s="18" customFormat="1" ht="20.399999999999999" x14ac:dyDescent="0.25">
      <c r="A94" s="46">
        <v>23130</v>
      </c>
      <c r="B94" s="45" t="s">
        <v>207</v>
      </c>
      <c r="C94" s="43">
        <v>49494.1</v>
      </c>
      <c r="D94" s="43">
        <f t="shared" si="19"/>
        <v>4124.5083333333332</v>
      </c>
      <c r="E94" s="43">
        <v>4124.5</v>
      </c>
      <c r="F94" s="43">
        <v>4124.5</v>
      </c>
      <c r="G94" s="43">
        <f t="shared" si="20"/>
        <v>11532.1253</v>
      </c>
      <c r="H94" s="44">
        <f t="shared" si="30"/>
        <v>4.5458263213957739E-2</v>
      </c>
      <c r="I94" s="43">
        <v>2392.1999999999998</v>
      </c>
      <c r="J94" s="43"/>
      <c r="K94" s="43"/>
      <c r="L94" s="43">
        <f t="shared" si="29"/>
        <v>2392.1999999999998</v>
      </c>
      <c r="M94" s="43">
        <v>2392.1999999999998</v>
      </c>
      <c r="N94" s="43">
        <f t="shared" si="21"/>
        <v>0</v>
      </c>
      <c r="O94" s="43">
        <f t="shared" si="22"/>
        <v>100</v>
      </c>
      <c r="P94" s="43">
        <v>11284.7</v>
      </c>
      <c r="Q94" s="44">
        <f t="shared" si="23"/>
        <v>4.6041902525489363E-2</v>
      </c>
      <c r="R94" s="43">
        <f t="shared" si="24"/>
        <v>2855.4713714712493</v>
      </c>
      <c r="S94" s="43"/>
      <c r="T94" s="43">
        <f>P94/3-R94</f>
        <v>906.09529519541775</v>
      </c>
      <c r="U94" s="43">
        <f>2488.9-T94</f>
        <v>1582.8047048045823</v>
      </c>
      <c r="V94" s="43"/>
      <c r="W94" s="43"/>
      <c r="X94" s="43">
        <f t="shared" ref="X94:X125" si="32">SUM(R94:V94)</f>
        <v>5344.3713714712494</v>
      </c>
      <c r="Y94" s="43"/>
      <c r="Z94" s="43">
        <f>D94</f>
        <v>4124.5083333333332</v>
      </c>
      <c r="AA94" s="43"/>
      <c r="AB94" s="43"/>
      <c r="AC94" s="43"/>
      <c r="AD94" s="43">
        <f t="shared" ref="AD94:AD125" si="33">SUM(Z94:AC94)</f>
        <v>4124.5083333333332</v>
      </c>
      <c r="AE94" s="43">
        <v>1815.8</v>
      </c>
      <c r="AF94" s="43"/>
      <c r="AG94" s="43">
        <v>1950.6</v>
      </c>
      <c r="AH94" s="42">
        <f t="shared" ref="AH94:AH125" si="34">AE94+AF94+AG94</f>
        <v>3766.3999999999996</v>
      </c>
      <c r="AI94" s="41">
        <v>3766.4</v>
      </c>
      <c r="AJ94" s="40">
        <v>4454.5</v>
      </c>
      <c r="AK94" s="49">
        <f>5142.5-1000</f>
        <v>4142.5</v>
      </c>
      <c r="AL94" s="39">
        <f t="shared" si="28"/>
        <v>4142.5</v>
      </c>
    </row>
    <row r="95" spans="1:38" s="18" customFormat="1" ht="20.399999999999999" x14ac:dyDescent="0.25">
      <c r="A95" s="46">
        <v>23140</v>
      </c>
      <c r="B95" s="45" t="s">
        <v>206</v>
      </c>
      <c r="C95" s="43">
        <v>974815</v>
      </c>
      <c r="D95" s="43">
        <f t="shared" si="19"/>
        <v>81234.583333333328</v>
      </c>
      <c r="E95" s="43">
        <v>81147.100000000006</v>
      </c>
      <c r="F95" s="43">
        <v>79567.5</v>
      </c>
      <c r="G95" s="43">
        <f t="shared" si="20"/>
        <v>227131.89499999999</v>
      </c>
      <c r="H95" s="44">
        <f t="shared" si="30"/>
        <v>0.88565966652029737</v>
      </c>
      <c r="I95" s="43">
        <v>66535.399999999994</v>
      </c>
      <c r="J95" s="43"/>
      <c r="K95" s="43"/>
      <c r="L95" s="43">
        <f t="shared" si="29"/>
        <v>66535.399999999994</v>
      </c>
      <c r="M95" s="43">
        <v>66535.399999999994</v>
      </c>
      <c r="N95" s="43">
        <f t="shared" si="21"/>
        <v>0</v>
      </c>
      <c r="O95" s="43">
        <f t="shared" si="22"/>
        <v>100</v>
      </c>
      <c r="P95" s="43">
        <v>242357.59999999998</v>
      </c>
      <c r="Q95" s="44">
        <f t="shared" si="23"/>
        <v>0.98882602067503245</v>
      </c>
      <c r="R95" s="43">
        <f t="shared" si="24"/>
        <v>61325.971311464215</v>
      </c>
      <c r="S95" s="43">
        <v>1000</v>
      </c>
      <c r="T95" s="43"/>
      <c r="U95" s="43"/>
      <c r="V95" s="43"/>
      <c r="W95" s="43"/>
      <c r="X95" s="43">
        <f t="shared" si="32"/>
        <v>62325.971311464215</v>
      </c>
      <c r="Y95" s="43">
        <v>62197</v>
      </c>
      <c r="Z95" s="43">
        <f>Y95</f>
        <v>62197</v>
      </c>
      <c r="AA95" s="43"/>
      <c r="AB95" s="43"/>
      <c r="AC95" s="43"/>
      <c r="AD95" s="43">
        <f t="shared" si="33"/>
        <v>62197</v>
      </c>
      <c r="AE95" s="43">
        <f>116522.7-15000-20000</f>
        <v>81522.7</v>
      </c>
      <c r="AF95" s="43"/>
      <c r="AG95" s="43"/>
      <c r="AH95" s="42">
        <f t="shared" si="34"/>
        <v>81522.7</v>
      </c>
      <c r="AI95" s="41">
        <v>84747.4</v>
      </c>
      <c r="AJ95" s="40">
        <v>90374</v>
      </c>
      <c r="AK95" s="49">
        <f>89907.4375-8000</f>
        <v>81907.4375</v>
      </c>
      <c r="AL95" s="39">
        <f t="shared" si="28"/>
        <v>81907.4375</v>
      </c>
    </row>
    <row r="96" spans="1:38" s="18" customFormat="1" ht="20.399999999999999" x14ac:dyDescent="0.25">
      <c r="A96" s="46">
        <v>23150</v>
      </c>
      <c r="B96" s="45" t="s">
        <v>205</v>
      </c>
      <c r="C96" s="43">
        <v>3031.9</v>
      </c>
      <c r="D96" s="43">
        <f t="shared" si="19"/>
        <v>252.65833333333333</v>
      </c>
      <c r="E96" s="43">
        <v>242.2</v>
      </c>
      <c r="F96" s="43">
        <v>193.7</v>
      </c>
      <c r="G96" s="43">
        <f t="shared" si="20"/>
        <v>706.43270000000007</v>
      </c>
      <c r="H96" s="44">
        <f t="shared" si="30"/>
        <v>2.4021404939949301E-3</v>
      </c>
      <c r="I96" s="43">
        <v>328</v>
      </c>
      <c r="J96" s="43"/>
      <c r="K96" s="43"/>
      <c r="L96" s="43">
        <f t="shared" si="29"/>
        <v>328</v>
      </c>
      <c r="M96" s="43">
        <v>328</v>
      </c>
      <c r="N96" s="43">
        <f t="shared" si="21"/>
        <v>0</v>
      </c>
      <c r="O96" s="43">
        <f t="shared" si="22"/>
        <v>100</v>
      </c>
      <c r="P96" s="43">
        <v>1085.5</v>
      </c>
      <c r="Q96" s="44">
        <f t="shared" si="23"/>
        <v>4.4288714092017237E-3</v>
      </c>
      <c r="R96" s="43">
        <f t="shared" si="24"/>
        <v>274.6740430611394</v>
      </c>
      <c r="S96" s="43"/>
      <c r="T96" s="43"/>
      <c r="U96" s="43"/>
      <c r="V96" s="43"/>
      <c r="W96" s="43"/>
      <c r="X96" s="43">
        <f t="shared" si="32"/>
        <v>274.6740430611394</v>
      </c>
      <c r="Y96" s="43">
        <v>339</v>
      </c>
      <c r="Z96" s="43">
        <f>Y96</f>
        <v>339</v>
      </c>
      <c r="AA96" s="43"/>
      <c r="AB96" s="43"/>
      <c r="AC96" s="43"/>
      <c r="AD96" s="43">
        <f t="shared" si="33"/>
        <v>339</v>
      </c>
      <c r="AE96" s="43">
        <v>469.7</v>
      </c>
      <c r="AF96" s="43"/>
      <c r="AG96" s="43"/>
      <c r="AH96" s="42">
        <f t="shared" si="34"/>
        <v>469.7</v>
      </c>
      <c r="AI96" s="41">
        <v>249</v>
      </c>
      <c r="AJ96" s="40">
        <v>183.6</v>
      </c>
      <c r="AK96" s="49">
        <v>245.2</v>
      </c>
      <c r="AL96" s="39">
        <f t="shared" si="28"/>
        <v>245.2</v>
      </c>
    </row>
    <row r="97" spans="1:38" s="18" customFormat="1" ht="13.2" x14ac:dyDescent="0.25">
      <c r="A97" s="46">
        <v>24140</v>
      </c>
      <c r="B97" s="45" t="s">
        <v>204</v>
      </c>
      <c r="C97" s="43"/>
      <c r="D97" s="43"/>
      <c r="E97" s="43"/>
      <c r="F97" s="43"/>
      <c r="G97" s="43"/>
      <c r="H97" s="44"/>
      <c r="I97" s="43"/>
      <c r="J97" s="43"/>
      <c r="K97" s="43"/>
      <c r="L97" s="43"/>
      <c r="M97" s="43"/>
      <c r="N97" s="43"/>
      <c r="O97" s="43"/>
      <c r="P97" s="43"/>
      <c r="Q97" s="44"/>
      <c r="R97" s="43"/>
      <c r="S97" s="43"/>
      <c r="T97" s="43"/>
      <c r="U97" s="43">
        <v>235800</v>
      </c>
      <c r="V97" s="43"/>
      <c r="W97" s="43"/>
      <c r="X97" s="43">
        <f t="shared" si="32"/>
        <v>235800</v>
      </c>
      <c r="Y97" s="43"/>
      <c r="Z97" s="43">
        <f>Y97</f>
        <v>0</v>
      </c>
      <c r="AA97" s="43"/>
      <c r="AB97" s="43"/>
      <c r="AC97" s="43"/>
      <c r="AD97" s="43">
        <f t="shared" si="33"/>
        <v>0</v>
      </c>
      <c r="AE97" s="43"/>
      <c r="AF97" s="43"/>
      <c r="AG97" s="43"/>
      <c r="AH97" s="42">
        <f t="shared" si="34"/>
        <v>0</v>
      </c>
      <c r="AI97" s="41"/>
      <c r="AJ97" s="57">
        <v>0</v>
      </c>
      <c r="AK97" s="49"/>
      <c r="AL97" s="39">
        <f t="shared" si="28"/>
        <v>0</v>
      </c>
    </row>
    <row r="98" spans="1:38" s="18" customFormat="1" ht="13.2" x14ac:dyDescent="0.25">
      <c r="A98" s="46">
        <v>24150</v>
      </c>
      <c r="B98" s="45" t="s">
        <v>203</v>
      </c>
      <c r="C98" s="43"/>
      <c r="D98" s="43"/>
      <c r="E98" s="43"/>
      <c r="F98" s="43"/>
      <c r="G98" s="43"/>
      <c r="H98" s="44"/>
      <c r="I98" s="43"/>
      <c r="J98" s="43"/>
      <c r="K98" s="43"/>
      <c r="L98" s="43"/>
      <c r="M98" s="43"/>
      <c r="N98" s="43"/>
      <c r="O98" s="43"/>
      <c r="P98" s="43"/>
      <c r="Q98" s="44"/>
      <c r="R98" s="43"/>
      <c r="S98" s="43"/>
      <c r="T98" s="43"/>
      <c r="U98" s="43"/>
      <c r="V98" s="43"/>
      <c r="W98" s="43"/>
      <c r="X98" s="43">
        <f t="shared" si="32"/>
        <v>0</v>
      </c>
      <c r="Y98" s="43"/>
      <c r="Z98" s="43">
        <v>170302.2</v>
      </c>
      <c r="AA98" s="43"/>
      <c r="AB98" s="43"/>
      <c r="AC98" s="43"/>
      <c r="AD98" s="43">
        <f t="shared" si="33"/>
        <v>170302.2</v>
      </c>
      <c r="AE98" s="43"/>
      <c r="AF98" s="43"/>
      <c r="AG98" s="43"/>
      <c r="AH98" s="42">
        <f t="shared" si="34"/>
        <v>0</v>
      </c>
      <c r="AI98" s="41"/>
      <c r="AJ98" s="57">
        <v>0</v>
      </c>
      <c r="AK98" s="49"/>
      <c r="AL98" s="39">
        <f t="shared" si="28"/>
        <v>0</v>
      </c>
    </row>
    <row r="99" spans="1:38" s="18" customFormat="1" ht="20.399999999999999" x14ac:dyDescent="0.25">
      <c r="A99" s="46">
        <v>24220</v>
      </c>
      <c r="B99" s="45" t="s">
        <v>202</v>
      </c>
      <c r="C99" s="43">
        <v>30000</v>
      </c>
      <c r="D99" s="43">
        <f t="shared" ref="D99:D110" si="35">C99/12</f>
        <v>2500</v>
      </c>
      <c r="E99" s="43"/>
      <c r="F99" s="43">
        <v>5000</v>
      </c>
      <c r="G99" s="43">
        <f t="shared" ref="G99:G110" si="36">C99*23.3/100</f>
        <v>6990</v>
      </c>
      <c r="H99" s="44">
        <f t="shared" ref="H99:H105" si="37">(E99+F99)/(8725103.2+9421212.6)*100</f>
        <v>2.7553802408751209E-2</v>
      </c>
      <c r="I99" s="43">
        <v>2500</v>
      </c>
      <c r="J99" s="43"/>
      <c r="K99" s="43"/>
      <c r="L99" s="43">
        <f t="shared" ref="L99:L110" si="38">SUM(I99:K99)</f>
        <v>2500</v>
      </c>
      <c r="M99" s="43">
        <v>2500</v>
      </c>
      <c r="N99" s="43">
        <f t="shared" ref="N99:N111" si="39">M99-L99</f>
        <v>0</v>
      </c>
      <c r="O99" s="43">
        <f t="shared" ref="O99:O117" si="40">M99/L99*100</f>
        <v>100</v>
      </c>
      <c r="P99" s="43">
        <v>7500</v>
      </c>
      <c r="Q99" s="44">
        <f t="shared" ref="Q99:Q110" si="41">P99/24509630.1*100</f>
        <v>3.0600217014291043E-2</v>
      </c>
      <c r="R99" s="43">
        <f t="shared" ref="R99:R105" si="42">6201897*Q99/100</f>
        <v>1897.7939410028057</v>
      </c>
      <c r="S99" s="43">
        <v>602.20000000000005</v>
      </c>
      <c r="T99" s="43"/>
      <c r="U99" s="43"/>
      <c r="V99" s="43"/>
      <c r="W99" s="43"/>
      <c r="X99" s="43">
        <f t="shared" si="32"/>
        <v>2499.9939410028055</v>
      </c>
      <c r="Y99" s="43"/>
      <c r="Z99" s="43">
        <f>D99</f>
        <v>2500</v>
      </c>
      <c r="AA99" s="43"/>
      <c r="AB99" s="43"/>
      <c r="AC99" s="43"/>
      <c r="AD99" s="43">
        <f t="shared" si="33"/>
        <v>2500</v>
      </c>
      <c r="AE99" s="43">
        <v>2500</v>
      </c>
      <c r="AF99" s="43"/>
      <c r="AG99" s="43"/>
      <c r="AH99" s="42">
        <f t="shared" si="34"/>
        <v>2500</v>
      </c>
      <c r="AI99" s="41">
        <f>2000+500</f>
        <v>2500</v>
      </c>
      <c r="AJ99" s="40">
        <v>2500</v>
      </c>
      <c r="AK99" s="49">
        <f>2500-1000</f>
        <v>1500</v>
      </c>
      <c r="AL99" s="39">
        <f t="shared" si="28"/>
        <v>1500</v>
      </c>
    </row>
    <row r="100" spans="1:38" s="18" customFormat="1" ht="13.2" x14ac:dyDescent="0.25">
      <c r="A100" s="46">
        <v>24320</v>
      </c>
      <c r="B100" s="45" t="s">
        <v>201</v>
      </c>
      <c r="C100" s="43">
        <v>30000</v>
      </c>
      <c r="D100" s="43">
        <f t="shared" si="35"/>
        <v>2500</v>
      </c>
      <c r="E100" s="43"/>
      <c r="F100" s="43">
        <v>5000</v>
      </c>
      <c r="G100" s="43">
        <f t="shared" si="36"/>
        <v>6990</v>
      </c>
      <c r="H100" s="44">
        <f t="shared" si="37"/>
        <v>2.7553802408751209E-2</v>
      </c>
      <c r="I100" s="43">
        <v>2500</v>
      </c>
      <c r="J100" s="43"/>
      <c r="K100" s="43"/>
      <c r="L100" s="43">
        <f t="shared" si="38"/>
        <v>2500</v>
      </c>
      <c r="M100" s="43">
        <v>2500</v>
      </c>
      <c r="N100" s="43">
        <f t="shared" si="39"/>
        <v>0</v>
      </c>
      <c r="O100" s="43">
        <f t="shared" si="40"/>
        <v>100</v>
      </c>
      <c r="P100" s="43">
        <v>7500</v>
      </c>
      <c r="Q100" s="44">
        <f t="shared" si="41"/>
        <v>3.0600217014291043E-2</v>
      </c>
      <c r="R100" s="43">
        <f t="shared" si="42"/>
        <v>1897.7939410028057</v>
      </c>
      <c r="S100" s="43">
        <v>602.20000000000005</v>
      </c>
      <c r="T100" s="43"/>
      <c r="U100" s="43"/>
      <c r="V100" s="43"/>
      <c r="W100" s="43"/>
      <c r="X100" s="43">
        <f t="shared" si="32"/>
        <v>2499.9939410028055</v>
      </c>
      <c r="Y100" s="43"/>
      <c r="Z100" s="43">
        <f>D100</f>
        <v>2500</v>
      </c>
      <c r="AA100" s="43"/>
      <c r="AB100" s="43"/>
      <c r="AC100" s="43"/>
      <c r="AD100" s="43">
        <f t="shared" si="33"/>
        <v>2500</v>
      </c>
      <c r="AE100" s="43">
        <v>2500</v>
      </c>
      <c r="AF100" s="43"/>
      <c r="AG100" s="43"/>
      <c r="AH100" s="42">
        <f t="shared" si="34"/>
        <v>2500</v>
      </c>
      <c r="AI100" s="41">
        <f>1500+1000</f>
        <v>2500</v>
      </c>
      <c r="AJ100" s="40">
        <v>2500</v>
      </c>
      <c r="AK100" s="49">
        <f>2500-1000</f>
        <v>1500</v>
      </c>
      <c r="AL100" s="39">
        <f t="shared" si="28"/>
        <v>1500</v>
      </c>
    </row>
    <row r="101" spans="1:38" s="18" customFormat="1" ht="13.2" x14ac:dyDescent="0.25">
      <c r="A101" s="46">
        <v>25110</v>
      </c>
      <c r="B101" s="45" t="s">
        <v>200</v>
      </c>
      <c r="C101" s="43">
        <v>129727.8</v>
      </c>
      <c r="D101" s="43">
        <f t="shared" si="35"/>
        <v>10810.65</v>
      </c>
      <c r="E101" s="43">
        <v>12043.9</v>
      </c>
      <c r="F101" s="43">
        <v>8535</v>
      </c>
      <c r="G101" s="43">
        <f t="shared" si="36"/>
        <v>30226.577400000002</v>
      </c>
      <c r="H101" s="44">
        <f t="shared" si="37"/>
        <v>0.11340538887789003</v>
      </c>
      <c r="I101" s="43">
        <v>14309.7</v>
      </c>
      <c r="J101" s="43"/>
      <c r="K101" s="43"/>
      <c r="L101" s="43">
        <f t="shared" si="38"/>
        <v>14309.7</v>
      </c>
      <c r="M101" s="43">
        <v>14309.7</v>
      </c>
      <c r="N101" s="43">
        <f t="shared" si="39"/>
        <v>0</v>
      </c>
      <c r="O101" s="43">
        <f t="shared" si="40"/>
        <v>100</v>
      </c>
      <c r="P101" s="43">
        <v>36165.200000000004</v>
      </c>
      <c r="Q101" s="44">
        <f t="shared" si="41"/>
        <v>0.14755506244869848</v>
      </c>
      <c r="R101" s="43">
        <f t="shared" si="42"/>
        <v>9151.2129913539575</v>
      </c>
      <c r="S101" s="43"/>
      <c r="T101" s="43"/>
      <c r="U101" s="43"/>
      <c r="V101" s="43"/>
      <c r="W101" s="43"/>
      <c r="X101" s="43">
        <f t="shared" si="32"/>
        <v>9151.2129913539575</v>
      </c>
      <c r="Y101" s="43">
        <v>11420</v>
      </c>
      <c r="Z101" s="43">
        <f t="shared" ref="Z101:Z106" si="43">Y101</f>
        <v>11420</v>
      </c>
      <c r="AA101" s="43">
        <v>11000</v>
      </c>
      <c r="AB101" s="43"/>
      <c r="AC101" s="43"/>
      <c r="AD101" s="43">
        <f t="shared" si="33"/>
        <v>22420</v>
      </c>
      <c r="AE101" s="43">
        <v>15407.7</v>
      </c>
      <c r="AF101" s="43"/>
      <c r="AG101" s="43"/>
      <c r="AH101" s="42">
        <f t="shared" si="34"/>
        <v>15407.7</v>
      </c>
      <c r="AI101" s="41">
        <f>15408+1180.8-1180.8</f>
        <v>15408</v>
      </c>
      <c r="AJ101" s="40">
        <v>14092.4</v>
      </c>
      <c r="AK101" s="49">
        <f>19917.3-7000</f>
        <v>12917.3</v>
      </c>
      <c r="AL101" s="39">
        <f t="shared" si="28"/>
        <v>12917.3</v>
      </c>
    </row>
    <row r="102" spans="1:38" s="18" customFormat="1" ht="13.2" x14ac:dyDescent="0.25">
      <c r="A102" s="46">
        <v>25120</v>
      </c>
      <c r="B102" s="45" t="s">
        <v>199</v>
      </c>
      <c r="C102" s="43">
        <v>242185.3</v>
      </c>
      <c r="D102" s="43">
        <f t="shared" si="35"/>
        <v>20182.108333333334</v>
      </c>
      <c r="E102" s="43">
        <v>21163.4</v>
      </c>
      <c r="F102" s="43">
        <v>16645.3</v>
      </c>
      <c r="G102" s="43">
        <f t="shared" si="36"/>
        <v>56429.174900000005</v>
      </c>
      <c r="H102" s="44">
        <f t="shared" si="37"/>
        <v>0.20835468982635033</v>
      </c>
      <c r="I102" s="43">
        <v>22973.200000000001</v>
      </c>
      <c r="J102" s="43">
        <v>6955.7</v>
      </c>
      <c r="K102" s="43"/>
      <c r="L102" s="43">
        <f t="shared" si="38"/>
        <v>29928.9</v>
      </c>
      <c r="M102" s="43">
        <v>29928.9</v>
      </c>
      <c r="N102" s="43">
        <f t="shared" si="39"/>
        <v>0</v>
      </c>
      <c r="O102" s="43">
        <f t="shared" si="40"/>
        <v>100</v>
      </c>
      <c r="P102" s="43">
        <v>63843.600000000006</v>
      </c>
      <c r="Q102" s="44">
        <f t="shared" si="41"/>
        <v>0.26048373532981228</v>
      </c>
      <c r="R102" s="43">
        <f t="shared" si="42"/>
        <v>16154.932966907569</v>
      </c>
      <c r="S102" s="43">
        <v>1317.2</v>
      </c>
      <c r="T102" s="43"/>
      <c r="U102" s="43"/>
      <c r="V102" s="43"/>
      <c r="W102" s="43"/>
      <c r="X102" s="43">
        <f t="shared" si="32"/>
        <v>17472.132966907568</v>
      </c>
      <c r="Y102" s="43">
        <v>20670</v>
      </c>
      <c r="Z102" s="43">
        <f t="shared" si="43"/>
        <v>20670</v>
      </c>
      <c r="AA102" s="43"/>
      <c r="AB102" s="43"/>
      <c r="AC102" s="43"/>
      <c r="AD102" s="43">
        <f t="shared" si="33"/>
        <v>20670</v>
      </c>
      <c r="AE102" s="43">
        <v>28521.3</v>
      </c>
      <c r="AF102" s="43"/>
      <c r="AG102" s="43"/>
      <c r="AH102" s="42">
        <f t="shared" si="34"/>
        <v>28521.3</v>
      </c>
      <c r="AI102" s="41">
        <f>18657.8+1180.8</f>
        <v>19838.599999999999</v>
      </c>
      <c r="AJ102" s="40">
        <v>20888.7</v>
      </c>
      <c r="AK102" s="49">
        <v>26177.3</v>
      </c>
      <c r="AL102" s="39">
        <f t="shared" si="28"/>
        <v>26177.3</v>
      </c>
    </row>
    <row r="103" spans="1:38" s="18" customFormat="1" ht="13.2" x14ac:dyDescent="0.25">
      <c r="A103" s="46">
        <v>25220</v>
      </c>
      <c r="B103" s="45" t="s">
        <v>198</v>
      </c>
      <c r="C103" s="43">
        <v>2632</v>
      </c>
      <c r="D103" s="43">
        <f t="shared" si="35"/>
        <v>219.33333333333334</v>
      </c>
      <c r="E103" s="43">
        <v>180</v>
      </c>
      <c r="F103" s="43">
        <v>161.6</v>
      </c>
      <c r="G103" s="43">
        <f t="shared" si="36"/>
        <v>613.25599999999997</v>
      </c>
      <c r="H103" s="44">
        <f t="shared" si="37"/>
        <v>1.8824757805658825E-3</v>
      </c>
      <c r="I103" s="43">
        <v>377.8</v>
      </c>
      <c r="J103" s="43"/>
      <c r="K103" s="43"/>
      <c r="L103" s="43">
        <f t="shared" si="38"/>
        <v>377.8</v>
      </c>
      <c r="M103" s="43">
        <v>332</v>
      </c>
      <c r="N103" s="43">
        <f t="shared" si="39"/>
        <v>-45.800000000000011</v>
      </c>
      <c r="O103" s="43">
        <f t="shared" si="40"/>
        <v>87.877183695076752</v>
      </c>
      <c r="P103" s="43">
        <v>861.1</v>
      </c>
      <c r="Q103" s="44">
        <f t="shared" si="41"/>
        <v>3.5133129161341362E-3</v>
      </c>
      <c r="R103" s="43">
        <f t="shared" si="42"/>
        <v>217.89204834633551</v>
      </c>
      <c r="S103" s="43"/>
      <c r="T103" s="43"/>
      <c r="U103" s="43"/>
      <c r="V103" s="43"/>
      <c r="W103" s="43"/>
      <c r="X103" s="43">
        <f t="shared" si="32"/>
        <v>217.89204834633551</v>
      </c>
      <c r="Y103" s="43">
        <v>231</v>
      </c>
      <c r="Z103" s="43">
        <f t="shared" si="43"/>
        <v>231</v>
      </c>
      <c r="AA103" s="43"/>
      <c r="AB103" s="43"/>
      <c r="AC103" s="43"/>
      <c r="AD103" s="43">
        <f t="shared" si="33"/>
        <v>231</v>
      </c>
      <c r="AE103" s="43">
        <v>409.7</v>
      </c>
      <c r="AF103" s="43"/>
      <c r="AG103" s="43"/>
      <c r="AH103" s="42">
        <f t="shared" si="34"/>
        <v>409.7</v>
      </c>
      <c r="AI103" s="41">
        <v>180.8</v>
      </c>
      <c r="AJ103" s="40">
        <v>94.3</v>
      </c>
      <c r="AK103" s="49">
        <v>266.66666666666669</v>
      </c>
      <c r="AL103" s="39">
        <f t="shared" si="28"/>
        <v>266.66666666666669</v>
      </c>
    </row>
    <row r="104" spans="1:38" s="18" customFormat="1" ht="13.5" customHeight="1" x14ac:dyDescent="0.25">
      <c r="A104" s="46">
        <v>25320</v>
      </c>
      <c r="B104" s="45" t="s">
        <v>197</v>
      </c>
      <c r="C104" s="43">
        <v>9960.1</v>
      </c>
      <c r="D104" s="43">
        <f t="shared" si="35"/>
        <v>830.00833333333333</v>
      </c>
      <c r="E104" s="43">
        <v>744.9</v>
      </c>
      <c r="F104" s="43">
        <v>542.4</v>
      </c>
      <c r="G104" s="43">
        <f t="shared" si="36"/>
        <v>2320.7033000000001</v>
      </c>
      <c r="H104" s="44">
        <f t="shared" si="37"/>
        <v>7.0940019681570848E-3</v>
      </c>
      <c r="I104" s="43">
        <v>862.3</v>
      </c>
      <c r="J104" s="43"/>
      <c r="K104" s="43"/>
      <c r="L104" s="43">
        <f t="shared" si="38"/>
        <v>862.3</v>
      </c>
      <c r="M104" s="43">
        <v>862.3</v>
      </c>
      <c r="N104" s="43">
        <f t="shared" si="39"/>
        <v>0</v>
      </c>
      <c r="O104" s="43">
        <f t="shared" si="40"/>
        <v>100</v>
      </c>
      <c r="P104" s="43">
        <v>2460.5000000000005</v>
      </c>
      <c r="Q104" s="44">
        <f t="shared" si="41"/>
        <v>1.0038911195155084E-2</v>
      </c>
      <c r="R104" s="43">
        <f t="shared" si="42"/>
        <v>622.6029322449873</v>
      </c>
      <c r="S104" s="43"/>
      <c r="T104" s="43"/>
      <c r="U104" s="43"/>
      <c r="V104" s="43"/>
      <c r="W104" s="43"/>
      <c r="X104" s="43">
        <f t="shared" si="32"/>
        <v>622.6029322449873</v>
      </c>
      <c r="Y104" s="43">
        <v>631.29999999999995</v>
      </c>
      <c r="Z104" s="43">
        <f t="shared" si="43"/>
        <v>631.29999999999995</v>
      </c>
      <c r="AA104" s="43"/>
      <c r="AB104" s="43"/>
      <c r="AC104" s="43"/>
      <c r="AD104" s="43">
        <f t="shared" si="33"/>
        <v>631.29999999999995</v>
      </c>
      <c r="AE104" s="43">
        <f>1081.2-200</f>
        <v>881.2</v>
      </c>
      <c r="AF104" s="43">
        <f>20+124.5</f>
        <v>144.5</v>
      </c>
      <c r="AG104" s="43"/>
      <c r="AH104" s="42">
        <f t="shared" si="34"/>
        <v>1025.7</v>
      </c>
      <c r="AI104" s="41">
        <v>773.6</v>
      </c>
      <c r="AJ104" s="40">
        <v>738.4</v>
      </c>
      <c r="AK104" s="49">
        <v>781.13333333333333</v>
      </c>
      <c r="AL104" s="39">
        <f t="shared" si="28"/>
        <v>781.13333333333333</v>
      </c>
    </row>
    <row r="105" spans="1:38" s="18" customFormat="1" ht="14.25" customHeight="1" x14ac:dyDescent="0.25">
      <c r="A105" s="46">
        <v>25420</v>
      </c>
      <c r="B105" s="45" t="s">
        <v>196</v>
      </c>
      <c r="C105" s="43">
        <v>10620.2</v>
      </c>
      <c r="D105" s="43">
        <f t="shared" si="35"/>
        <v>885.01666666666677</v>
      </c>
      <c r="E105" s="43">
        <v>760.3</v>
      </c>
      <c r="F105" s="43">
        <v>784</v>
      </c>
      <c r="G105" s="43">
        <f t="shared" si="36"/>
        <v>2474.5066000000002</v>
      </c>
      <c r="H105" s="44">
        <f t="shared" si="37"/>
        <v>8.5102674119668983E-3</v>
      </c>
      <c r="I105" s="43">
        <v>854.9</v>
      </c>
      <c r="J105" s="43"/>
      <c r="K105" s="43"/>
      <c r="L105" s="43">
        <f t="shared" si="38"/>
        <v>854.9</v>
      </c>
      <c r="M105" s="43">
        <v>766.6</v>
      </c>
      <c r="N105" s="43">
        <f t="shared" si="39"/>
        <v>-88.299999999999955</v>
      </c>
      <c r="O105" s="43">
        <f t="shared" si="40"/>
        <v>89.671306585565574</v>
      </c>
      <c r="P105" s="43">
        <v>2823</v>
      </c>
      <c r="Q105" s="44">
        <f t="shared" si="41"/>
        <v>1.151792168417915E-2</v>
      </c>
      <c r="R105" s="43">
        <f t="shared" si="42"/>
        <v>714.3296393934562</v>
      </c>
      <c r="S105" s="43"/>
      <c r="T105" s="43"/>
      <c r="U105" s="43"/>
      <c r="V105" s="43"/>
      <c r="W105" s="43"/>
      <c r="X105" s="43">
        <f t="shared" si="32"/>
        <v>714.3296393934562</v>
      </c>
      <c r="Y105" s="43">
        <v>744</v>
      </c>
      <c r="Z105" s="43">
        <f t="shared" si="43"/>
        <v>744</v>
      </c>
      <c r="AA105" s="43"/>
      <c r="AB105" s="43"/>
      <c r="AC105" s="43"/>
      <c r="AD105" s="43">
        <f t="shared" si="33"/>
        <v>744</v>
      </c>
      <c r="AE105" s="43">
        <f>1109.5-200</f>
        <v>909.5</v>
      </c>
      <c r="AF105" s="43"/>
      <c r="AG105" s="43"/>
      <c r="AH105" s="42">
        <f t="shared" si="34"/>
        <v>909.5</v>
      </c>
      <c r="AI105" s="41">
        <v>909.5</v>
      </c>
      <c r="AJ105" s="40">
        <v>880</v>
      </c>
      <c r="AK105" s="49">
        <v>989.58974358974365</v>
      </c>
      <c r="AL105" s="39">
        <f t="shared" si="28"/>
        <v>989.58974358974365</v>
      </c>
    </row>
    <row r="106" spans="1:38" s="18" customFormat="1" ht="13.2" x14ac:dyDescent="0.25">
      <c r="A106" s="48">
        <v>25910</v>
      </c>
      <c r="B106" s="45" t="s">
        <v>195</v>
      </c>
      <c r="C106" s="43">
        <v>100000</v>
      </c>
      <c r="D106" s="43">
        <f t="shared" si="35"/>
        <v>8333.3333333333339</v>
      </c>
      <c r="E106" s="43"/>
      <c r="F106" s="43"/>
      <c r="G106" s="43">
        <f t="shared" si="36"/>
        <v>23300</v>
      </c>
      <c r="H106" s="44">
        <v>0.12514600000000001</v>
      </c>
      <c r="I106" s="43">
        <f>7990664.7*H106/100+8000</f>
        <v>17999.997245462</v>
      </c>
      <c r="J106" s="43"/>
      <c r="K106" s="43"/>
      <c r="L106" s="43">
        <f t="shared" si="38"/>
        <v>17999.997245462</v>
      </c>
      <c r="M106" s="43">
        <v>18000</v>
      </c>
      <c r="N106" s="43">
        <f t="shared" si="39"/>
        <v>2.754537999862805E-3</v>
      </c>
      <c r="O106" s="43">
        <f t="shared" si="40"/>
        <v>100.00001530299123</v>
      </c>
      <c r="P106" s="43">
        <v>15000</v>
      </c>
      <c r="Q106" s="44">
        <f t="shared" si="41"/>
        <v>6.1200434028582086E-2</v>
      </c>
      <c r="R106" s="43">
        <f>6201897*Q106/100-3795.6</f>
        <v>-1.2117994388518127E-2</v>
      </c>
      <c r="S106" s="43"/>
      <c r="T106" s="43"/>
      <c r="U106" s="43">
        <v>10000</v>
      </c>
      <c r="V106" s="43"/>
      <c r="W106" s="43"/>
      <c r="X106" s="43">
        <f t="shared" si="32"/>
        <v>9999.987882005611</v>
      </c>
      <c r="Y106" s="43"/>
      <c r="Z106" s="43">
        <f t="shared" si="43"/>
        <v>0</v>
      </c>
      <c r="AA106" s="43"/>
      <c r="AB106" s="43"/>
      <c r="AC106" s="43">
        <v>1500</v>
      </c>
      <c r="AD106" s="43">
        <f t="shared" si="33"/>
        <v>1500</v>
      </c>
      <c r="AE106" s="43"/>
      <c r="AF106" s="43"/>
      <c r="AG106" s="43"/>
      <c r="AH106" s="42">
        <f t="shared" si="34"/>
        <v>0</v>
      </c>
      <c r="AI106" s="41">
        <f>7000</f>
        <v>7000</v>
      </c>
      <c r="AJ106" s="40">
        <v>0</v>
      </c>
      <c r="AK106" s="49">
        <v>6500</v>
      </c>
      <c r="AL106" s="39">
        <f t="shared" si="28"/>
        <v>6500</v>
      </c>
    </row>
    <row r="107" spans="1:38" s="18" customFormat="1" ht="13.2" x14ac:dyDescent="0.25">
      <c r="A107" s="46">
        <v>26612</v>
      </c>
      <c r="B107" s="45" t="s">
        <v>194</v>
      </c>
      <c r="C107" s="43">
        <v>1609300</v>
      </c>
      <c r="D107" s="43">
        <f t="shared" si="35"/>
        <v>134108.33333333334</v>
      </c>
      <c r="E107" s="43">
        <v>134000</v>
      </c>
      <c r="F107" s="43">
        <v>126518</v>
      </c>
      <c r="G107" s="43">
        <f t="shared" si="36"/>
        <v>374966.9</v>
      </c>
      <c r="H107" s="44">
        <f>(E107+F107)/(8725103.2+9421212.6)*100</f>
        <v>1.4356522991846092</v>
      </c>
      <c r="I107" s="43">
        <v>125714</v>
      </c>
      <c r="J107" s="43"/>
      <c r="K107" s="43"/>
      <c r="L107" s="43">
        <f t="shared" si="38"/>
        <v>125714</v>
      </c>
      <c r="M107" s="43">
        <v>125714</v>
      </c>
      <c r="N107" s="43">
        <f t="shared" si="39"/>
        <v>0</v>
      </c>
      <c r="O107" s="43">
        <f t="shared" si="40"/>
        <v>100</v>
      </c>
      <c r="P107" s="43">
        <v>386232</v>
      </c>
      <c r="Q107" s="44">
        <f t="shared" si="41"/>
        <v>1.5758377357151545</v>
      </c>
      <c r="R107" s="43">
        <f>6201897*Q107/100</f>
        <v>97731.833256186103</v>
      </c>
      <c r="S107" s="43">
        <f>129000-R107</f>
        <v>31268.166743813897</v>
      </c>
      <c r="T107" s="43"/>
      <c r="U107" s="43"/>
      <c r="V107" s="43"/>
      <c r="W107" s="43"/>
      <c r="X107" s="43">
        <f t="shared" si="32"/>
        <v>129000</v>
      </c>
      <c r="Y107" s="43"/>
      <c r="Z107" s="43">
        <v>129000</v>
      </c>
      <c r="AA107" s="43"/>
      <c r="AB107" s="43"/>
      <c r="AC107" s="43"/>
      <c r="AD107" s="43">
        <f t="shared" si="33"/>
        <v>129000</v>
      </c>
      <c r="AE107" s="43">
        <v>132847</v>
      </c>
      <c r="AF107" s="43"/>
      <c r="AG107" s="43"/>
      <c r="AH107" s="42">
        <f t="shared" si="34"/>
        <v>132847</v>
      </c>
      <c r="AI107" s="41">
        <v>166294.29999999999</v>
      </c>
      <c r="AJ107" s="40">
        <v>166994.29999999999</v>
      </c>
      <c r="AK107" s="49">
        <f>170000-36000</f>
        <v>134000</v>
      </c>
      <c r="AL107" s="39">
        <f t="shared" si="28"/>
        <v>134000</v>
      </c>
    </row>
    <row r="108" spans="1:38" s="18" customFormat="1" ht="25.5" customHeight="1" x14ac:dyDescent="0.25">
      <c r="A108" s="46">
        <v>26613</v>
      </c>
      <c r="B108" s="45" t="s">
        <v>193</v>
      </c>
      <c r="C108" s="43">
        <v>450700</v>
      </c>
      <c r="D108" s="43">
        <f t="shared" si="35"/>
        <v>37558.333333333336</v>
      </c>
      <c r="E108" s="43">
        <v>42668</v>
      </c>
      <c r="F108" s="43"/>
      <c r="G108" s="43">
        <f t="shared" si="36"/>
        <v>105013.1</v>
      </c>
      <c r="H108" s="44">
        <f>(E108+F108)/(8725103.2+9421212.6)*100</f>
        <v>0.23513312823531929</v>
      </c>
      <c r="I108" s="43">
        <v>65500</v>
      </c>
      <c r="J108" s="43"/>
      <c r="K108" s="43"/>
      <c r="L108" s="43">
        <f t="shared" si="38"/>
        <v>65500</v>
      </c>
      <c r="M108" s="43">
        <v>25000</v>
      </c>
      <c r="N108" s="43">
        <f t="shared" si="39"/>
        <v>-40500</v>
      </c>
      <c r="O108" s="43">
        <f t="shared" si="40"/>
        <v>38.167938931297712</v>
      </c>
      <c r="P108" s="43">
        <v>108168</v>
      </c>
      <c r="Q108" s="44">
        <f t="shared" si="41"/>
        <v>0.44132856986691116</v>
      </c>
      <c r="R108" s="43">
        <f>6201897*Q108/100</f>
        <v>27370.743334718867</v>
      </c>
      <c r="S108" s="43">
        <f>69000-R108-20000</f>
        <v>21629.256665281137</v>
      </c>
      <c r="T108" s="43">
        <f>16600+6450</f>
        <v>23050</v>
      </c>
      <c r="U108" s="43"/>
      <c r="V108" s="43"/>
      <c r="W108" s="43"/>
      <c r="X108" s="43">
        <f t="shared" si="32"/>
        <v>72050</v>
      </c>
      <c r="Y108" s="43"/>
      <c r="Z108" s="43">
        <v>31000</v>
      </c>
      <c r="AA108" s="43"/>
      <c r="AB108" s="43"/>
      <c r="AC108" s="43">
        <f>52900+6000</f>
        <v>58900</v>
      </c>
      <c r="AD108" s="43">
        <f t="shared" si="33"/>
        <v>89900</v>
      </c>
      <c r="AE108" s="43">
        <f>57273.7-47273.7</f>
        <v>10000</v>
      </c>
      <c r="AF108" s="43">
        <v>11000</v>
      </c>
      <c r="AG108" s="43"/>
      <c r="AH108" s="42">
        <f t="shared" si="34"/>
        <v>21000</v>
      </c>
      <c r="AI108" s="41">
        <f>40000+3500+45310.4</f>
        <v>88810.4</v>
      </c>
      <c r="AJ108" s="40">
        <v>234809</v>
      </c>
      <c r="AK108" s="49">
        <v>217600</v>
      </c>
      <c r="AL108" s="39">
        <f t="shared" si="28"/>
        <v>217600</v>
      </c>
    </row>
    <row r="109" spans="1:38" s="18" customFormat="1" ht="13.2" x14ac:dyDescent="0.25">
      <c r="A109" s="46">
        <v>26621</v>
      </c>
      <c r="B109" s="45" t="s">
        <v>192</v>
      </c>
      <c r="C109" s="43">
        <v>500000</v>
      </c>
      <c r="D109" s="43">
        <f t="shared" si="35"/>
        <v>41666.666666666664</v>
      </c>
      <c r="E109" s="43"/>
      <c r="F109" s="43"/>
      <c r="G109" s="43">
        <f t="shared" si="36"/>
        <v>116500</v>
      </c>
      <c r="H109" s="44">
        <f>(E109+F109)/(8725103.2+9421212.6)*100</f>
        <v>0</v>
      </c>
      <c r="I109" s="43">
        <v>5000</v>
      </c>
      <c r="J109" s="43"/>
      <c r="K109" s="43"/>
      <c r="L109" s="43">
        <f t="shared" si="38"/>
        <v>5000</v>
      </c>
      <c r="M109" s="43">
        <v>0</v>
      </c>
      <c r="N109" s="43">
        <f t="shared" si="39"/>
        <v>-5000</v>
      </c>
      <c r="O109" s="43">
        <f t="shared" si="40"/>
        <v>0</v>
      </c>
      <c r="P109" s="43">
        <v>100000</v>
      </c>
      <c r="Q109" s="44">
        <f t="shared" si="41"/>
        <v>0.40800289352388058</v>
      </c>
      <c r="R109" s="43">
        <f>6201897*Q109/100</f>
        <v>25303.919213370747</v>
      </c>
      <c r="S109" s="43"/>
      <c r="T109" s="43"/>
      <c r="U109" s="43"/>
      <c r="V109" s="43"/>
      <c r="W109" s="43"/>
      <c r="X109" s="43">
        <f t="shared" si="32"/>
        <v>25303.919213370747</v>
      </c>
      <c r="Y109" s="43"/>
      <c r="Z109" s="43">
        <f>D109</f>
        <v>41666.666666666664</v>
      </c>
      <c r="AA109" s="43"/>
      <c r="AB109" s="43"/>
      <c r="AC109" s="43"/>
      <c r="AD109" s="43">
        <f t="shared" si="33"/>
        <v>41666.666666666664</v>
      </c>
      <c r="AE109" s="43">
        <v>105000</v>
      </c>
      <c r="AF109" s="43"/>
      <c r="AG109" s="43"/>
      <c r="AH109" s="42">
        <f t="shared" si="34"/>
        <v>105000</v>
      </c>
      <c r="AI109" s="41">
        <v>109833.3</v>
      </c>
      <c r="AJ109" s="40">
        <v>66000</v>
      </c>
      <c r="AK109" s="49">
        <v>100000</v>
      </c>
      <c r="AL109" s="39">
        <f t="shared" si="28"/>
        <v>100000</v>
      </c>
    </row>
    <row r="110" spans="1:38" s="18" customFormat="1" ht="13.2" x14ac:dyDescent="0.25">
      <c r="A110" s="46">
        <v>26631</v>
      </c>
      <c r="B110" s="45" t="s">
        <v>191</v>
      </c>
      <c r="C110" s="43">
        <v>450000</v>
      </c>
      <c r="D110" s="43">
        <f t="shared" si="35"/>
        <v>37500</v>
      </c>
      <c r="E110" s="43">
        <v>50000</v>
      </c>
      <c r="F110" s="43">
        <v>40000</v>
      </c>
      <c r="G110" s="43">
        <f t="shared" si="36"/>
        <v>104850</v>
      </c>
      <c r="H110" s="44">
        <f>(E110+F110)/(8725103.2+9421212.6)*100</f>
        <v>0.49596844335752172</v>
      </c>
      <c r="I110" s="43">
        <v>25200</v>
      </c>
      <c r="J110" s="43"/>
      <c r="K110" s="43"/>
      <c r="L110" s="43">
        <f t="shared" si="38"/>
        <v>25200</v>
      </c>
      <c r="M110" s="43">
        <v>25200</v>
      </c>
      <c r="N110" s="43">
        <f t="shared" si="39"/>
        <v>0</v>
      </c>
      <c r="O110" s="43">
        <f t="shared" si="40"/>
        <v>100</v>
      </c>
      <c r="P110" s="43">
        <v>78300</v>
      </c>
      <c r="Q110" s="44">
        <f t="shared" si="41"/>
        <v>0.3194662656291985</v>
      </c>
      <c r="R110" s="43">
        <f>6201897*Q110/100</f>
        <v>19812.968744069294</v>
      </c>
      <c r="S110" s="43"/>
      <c r="T110" s="43"/>
      <c r="U110" s="43"/>
      <c r="V110" s="43"/>
      <c r="W110" s="43"/>
      <c r="X110" s="43">
        <f t="shared" si="32"/>
        <v>19812.968744069294</v>
      </c>
      <c r="Y110" s="43"/>
      <c r="Z110" s="43">
        <f>D110</f>
        <v>37500</v>
      </c>
      <c r="AA110" s="43"/>
      <c r="AB110" s="43"/>
      <c r="AC110" s="43"/>
      <c r="AD110" s="43">
        <f t="shared" si="33"/>
        <v>37500</v>
      </c>
      <c r="AE110" s="43">
        <v>20987</v>
      </c>
      <c r="AF110" s="43"/>
      <c r="AG110" s="43"/>
      <c r="AH110" s="42">
        <f t="shared" si="34"/>
        <v>20987</v>
      </c>
      <c r="AI110" s="41">
        <v>20987</v>
      </c>
      <c r="AJ110" s="40">
        <v>50000</v>
      </c>
      <c r="AK110" s="49">
        <f>75000-35000</f>
        <v>40000</v>
      </c>
      <c r="AL110" s="39">
        <f t="shared" si="28"/>
        <v>40000</v>
      </c>
    </row>
    <row r="111" spans="1:38" s="18" customFormat="1" ht="13.2" x14ac:dyDescent="0.25">
      <c r="A111" s="46">
        <v>26632</v>
      </c>
      <c r="B111" s="45" t="s">
        <v>190</v>
      </c>
      <c r="C111" s="43">
        <f>SUM(C112:C115)</f>
        <v>21869730</v>
      </c>
      <c r="D111" s="43">
        <f>SUM(D112:D115)</f>
        <v>1822477.5</v>
      </c>
      <c r="E111" s="43">
        <f>SUM(E112:E115)</f>
        <v>1058343.6000000001</v>
      </c>
      <c r="F111" s="43">
        <f>SUM(F112:F115)</f>
        <v>1259815.3999999999</v>
      </c>
      <c r="G111" s="43"/>
      <c r="H111" s="44"/>
      <c r="I111" s="43"/>
      <c r="J111" s="43"/>
      <c r="K111" s="43"/>
      <c r="L111" s="43">
        <f>SUM(L112:L115)</f>
        <v>2774708.9</v>
      </c>
      <c r="M111" s="43">
        <v>2754957.213</v>
      </c>
      <c r="N111" s="43">
        <f t="shared" si="39"/>
        <v>-19751.686999999918</v>
      </c>
      <c r="O111" s="43">
        <f t="shared" si="40"/>
        <v>99.288152822085223</v>
      </c>
      <c r="P111" s="43">
        <v>5213743.2</v>
      </c>
      <c r="Q111" s="44"/>
      <c r="R111" s="43">
        <v>2280020.1</v>
      </c>
      <c r="S111" s="43">
        <v>36500</v>
      </c>
      <c r="T111" s="43"/>
      <c r="U111" s="43"/>
      <c r="V111" s="43"/>
      <c r="W111" s="43"/>
      <c r="X111" s="43">
        <f t="shared" si="32"/>
        <v>2316520.1</v>
      </c>
      <c r="Y111" s="43"/>
      <c r="Z111" s="43">
        <f>254041.8+972065.5</f>
        <v>1226107.3</v>
      </c>
      <c r="AA111" s="43"/>
      <c r="AB111" s="43"/>
      <c r="AC111" s="43"/>
      <c r="AD111" s="43">
        <f t="shared" si="33"/>
        <v>1226107.3</v>
      </c>
      <c r="AE111" s="43">
        <f>596076.1+972022.7+0.1-240385.9</f>
        <v>1327713</v>
      </c>
      <c r="AF111" s="43"/>
      <c r="AG111" s="43"/>
      <c r="AH111" s="42">
        <f t="shared" si="34"/>
        <v>1327713</v>
      </c>
      <c r="AI111" s="41">
        <v>1287942.1000000001</v>
      </c>
      <c r="AJ111" s="40">
        <v>1746774</v>
      </c>
      <c r="AK111" s="49">
        <v>2646734.2000000002</v>
      </c>
      <c r="AL111" s="39">
        <f t="shared" si="28"/>
        <v>2646734.2000000002</v>
      </c>
    </row>
    <row r="112" spans="1:38" s="18" customFormat="1" ht="13.2" hidden="1" x14ac:dyDescent="0.25">
      <c r="A112" s="56">
        <v>26632</v>
      </c>
      <c r="B112" s="55" t="s">
        <v>189</v>
      </c>
      <c r="C112" s="52">
        <v>3699600</v>
      </c>
      <c r="D112" s="52">
        <f t="shared" ref="D112:D121" si="44">C112/12</f>
        <v>308300</v>
      </c>
      <c r="E112" s="52">
        <v>136542.29999999999</v>
      </c>
      <c r="F112" s="52">
        <v>217953.4</v>
      </c>
      <c r="G112" s="52">
        <f t="shared" ref="G112:G121" si="45">C112*23.3/100</f>
        <v>862006.8</v>
      </c>
      <c r="H112" s="54">
        <f t="shared" ref="H112:H119" si="46">(E112+F112)/(8725103.2+9421212.6)*100</f>
        <v>1.9535408945103887</v>
      </c>
      <c r="I112" s="52">
        <v>696834.4</v>
      </c>
      <c r="J112" s="52"/>
      <c r="K112" s="52"/>
      <c r="L112" s="52">
        <f t="shared" ref="L112:L127" si="47">SUM(I112:K112)</f>
        <v>696834.4</v>
      </c>
      <c r="M112" s="52"/>
      <c r="N112" s="52"/>
      <c r="O112" s="52">
        <f t="shared" si="40"/>
        <v>0</v>
      </c>
      <c r="P112" s="52"/>
      <c r="Q112" s="44">
        <f>P112/33760945.6*100</f>
        <v>0</v>
      </c>
      <c r="R112" s="43">
        <f t="shared" ref="R112:R119" si="48">6201897*Q112/100</f>
        <v>0</v>
      </c>
      <c r="S112" s="47"/>
      <c r="T112" s="43"/>
      <c r="U112" s="43"/>
      <c r="V112" s="43"/>
      <c r="W112" s="43"/>
      <c r="X112" s="43">
        <f t="shared" si="32"/>
        <v>0</v>
      </c>
      <c r="Y112" s="43"/>
      <c r="Z112" s="47"/>
      <c r="AA112" s="47"/>
      <c r="AB112" s="47"/>
      <c r="AC112" s="51"/>
      <c r="AD112" s="43">
        <f t="shared" si="33"/>
        <v>0</v>
      </c>
      <c r="AE112" s="43"/>
      <c r="AF112" s="43"/>
      <c r="AG112" s="43"/>
      <c r="AH112" s="42">
        <f t="shared" si="34"/>
        <v>0</v>
      </c>
      <c r="AI112" s="41"/>
      <c r="AJ112" s="40">
        <v>0</v>
      </c>
      <c r="AK112" s="49"/>
      <c r="AL112" s="39">
        <f t="shared" si="28"/>
        <v>0</v>
      </c>
    </row>
    <row r="113" spans="1:38" s="18" customFormat="1" ht="13.2" hidden="1" x14ac:dyDescent="0.25">
      <c r="A113" s="56">
        <v>26632</v>
      </c>
      <c r="B113" s="55" t="s">
        <v>188</v>
      </c>
      <c r="C113" s="52">
        <v>6109400</v>
      </c>
      <c r="D113" s="52">
        <f t="shared" si="44"/>
        <v>509116.66666666669</v>
      </c>
      <c r="E113" s="52">
        <v>197022.7</v>
      </c>
      <c r="F113" s="52">
        <v>333375.5</v>
      </c>
      <c r="G113" s="52">
        <f t="shared" si="45"/>
        <v>1423490.2</v>
      </c>
      <c r="H113" s="54">
        <f t="shared" si="46"/>
        <v>2.9228974401514609</v>
      </c>
      <c r="I113" s="52">
        <v>1148159.5</v>
      </c>
      <c r="J113" s="52"/>
      <c r="K113" s="52"/>
      <c r="L113" s="52">
        <f t="shared" si="47"/>
        <v>1148159.5</v>
      </c>
      <c r="M113" s="52"/>
      <c r="N113" s="52"/>
      <c r="O113" s="52">
        <f t="shared" si="40"/>
        <v>0</v>
      </c>
      <c r="P113" s="52"/>
      <c r="Q113" s="44">
        <f>P113/33760945.6*100</f>
        <v>0</v>
      </c>
      <c r="R113" s="43">
        <f t="shared" si="48"/>
        <v>0</v>
      </c>
      <c r="S113" s="47"/>
      <c r="T113" s="43"/>
      <c r="U113" s="43"/>
      <c r="V113" s="43"/>
      <c r="W113" s="43"/>
      <c r="X113" s="43">
        <f t="shared" si="32"/>
        <v>0</v>
      </c>
      <c r="Y113" s="43"/>
      <c r="Z113" s="47"/>
      <c r="AA113" s="47"/>
      <c r="AB113" s="47"/>
      <c r="AC113" s="51"/>
      <c r="AD113" s="43">
        <f t="shared" si="33"/>
        <v>0</v>
      </c>
      <c r="AE113" s="43"/>
      <c r="AF113" s="43"/>
      <c r="AG113" s="43"/>
      <c r="AH113" s="42">
        <f t="shared" si="34"/>
        <v>0</v>
      </c>
      <c r="AI113" s="41"/>
      <c r="AJ113" s="40">
        <v>0</v>
      </c>
      <c r="AK113" s="49"/>
      <c r="AL113" s="39">
        <f t="shared" si="28"/>
        <v>0</v>
      </c>
    </row>
    <row r="114" spans="1:38" s="18" customFormat="1" ht="13.2" hidden="1" x14ac:dyDescent="0.25">
      <c r="A114" s="56">
        <v>26632</v>
      </c>
      <c r="B114" s="55" t="s">
        <v>187</v>
      </c>
      <c r="C114" s="52">
        <v>1899030</v>
      </c>
      <c r="D114" s="52">
        <f t="shared" si="44"/>
        <v>158252.5</v>
      </c>
      <c r="E114" s="52">
        <v>134792.79999999999</v>
      </c>
      <c r="F114" s="52">
        <v>186911.3</v>
      </c>
      <c r="G114" s="52">
        <f t="shared" si="45"/>
        <v>442473.99</v>
      </c>
      <c r="H114" s="54">
        <f t="shared" si="46"/>
        <v>1.7728342410970277</v>
      </c>
      <c r="I114" s="52">
        <v>139572.5</v>
      </c>
      <c r="J114" s="52"/>
      <c r="K114" s="52"/>
      <c r="L114" s="52">
        <f t="shared" si="47"/>
        <v>139572.5</v>
      </c>
      <c r="M114" s="52"/>
      <c r="N114" s="52"/>
      <c r="O114" s="52">
        <f t="shared" si="40"/>
        <v>0</v>
      </c>
      <c r="P114" s="52"/>
      <c r="Q114" s="44">
        <f>P114/33760945.6*100</f>
        <v>0</v>
      </c>
      <c r="R114" s="43">
        <f t="shared" si="48"/>
        <v>0</v>
      </c>
      <c r="S114" s="47"/>
      <c r="T114" s="43"/>
      <c r="U114" s="43"/>
      <c r="V114" s="43"/>
      <c r="W114" s="43"/>
      <c r="X114" s="43">
        <f t="shared" si="32"/>
        <v>0</v>
      </c>
      <c r="Y114" s="43"/>
      <c r="Z114" s="47"/>
      <c r="AA114" s="47"/>
      <c r="AB114" s="47"/>
      <c r="AC114" s="51"/>
      <c r="AD114" s="43">
        <f t="shared" si="33"/>
        <v>0</v>
      </c>
      <c r="AE114" s="43"/>
      <c r="AF114" s="43"/>
      <c r="AG114" s="43"/>
      <c r="AH114" s="42">
        <f t="shared" si="34"/>
        <v>0</v>
      </c>
      <c r="AI114" s="41"/>
      <c r="AJ114" s="40">
        <v>0</v>
      </c>
      <c r="AK114" s="49"/>
      <c r="AL114" s="39">
        <f t="shared" si="28"/>
        <v>0</v>
      </c>
    </row>
    <row r="115" spans="1:38" s="18" customFormat="1" ht="13.2" hidden="1" x14ac:dyDescent="0.25">
      <c r="A115" s="56">
        <v>26632</v>
      </c>
      <c r="B115" s="55" t="s">
        <v>186</v>
      </c>
      <c r="C115" s="52">
        <v>10161700</v>
      </c>
      <c r="D115" s="52">
        <f t="shared" si="44"/>
        <v>846808.33333333337</v>
      </c>
      <c r="E115" s="52">
        <v>589985.80000000005</v>
      </c>
      <c r="F115" s="52">
        <v>521575.2</v>
      </c>
      <c r="G115" s="52">
        <f t="shared" si="45"/>
        <v>2367676.1</v>
      </c>
      <c r="H115" s="54">
        <f t="shared" si="46"/>
        <v>6.1255464318547803</v>
      </c>
      <c r="I115" s="52">
        <v>790142.5</v>
      </c>
      <c r="J115" s="52"/>
      <c r="K115" s="52"/>
      <c r="L115" s="52">
        <f t="shared" si="47"/>
        <v>790142.5</v>
      </c>
      <c r="M115" s="53"/>
      <c r="N115" s="52"/>
      <c r="O115" s="52">
        <f t="shared" si="40"/>
        <v>0</v>
      </c>
      <c r="P115" s="52"/>
      <c r="Q115" s="44">
        <f>P115/33760945.6*100</f>
        <v>0</v>
      </c>
      <c r="R115" s="43">
        <f t="shared" si="48"/>
        <v>0</v>
      </c>
      <c r="S115" s="47"/>
      <c r="T115" s="43"/>
      <c r="U115" s="43"/>
      <c r="V115" s="43"/>
      <c r="W115" s="43"/>
      <c r="X115" s="43">
        <f t="shared" si="32"/>
        <v>0</v>
      </c>
      <c r="Y115" s="43"/>
      <c r="Z115" s="47"/>
      <c r="AA115" s="47"/>
      <c r="AB115" s="47"/>
      <c r="AC115" s="51"/>
      <c r="AD115" s="43">
        <f t="shared" si="33"/>
        <v>0</v>
      </c>
      <c r="AE115" s="43"/>
      <c r="AF115" s="43"/>
      <c r="AG115" s="43"/>
      <c r="AH115" s="42">
        <f t="shared" si="34"/>
        <v>0</v>
      </c>
      <c r="AI115" s="41"/>
      <c r="AJ115" s="40">
        <v>0</v>
      </c>
      <c r="AK115" s="49"/>
      <c r="AL115" s="39">
        <f t="shared" si="28"/>
        <v>0</v>
      </c>
    </row>
    <row r="116" spans="1:38" s="18" customFormat="1" ht="13.2" x14ac:dyDescent="0.25">
      <c r="A116" s="46">
        <v>26633</v>
      </c>
      <c r="B116" s="45" t="s">
        <v>185</v>
      </c>
      <c r="C116" s="43">
        <v>850000</v>
      </c>
      <c r="D116" s="43">
        <f t="shared" si="44"/>
        <v>70833.333333333328</v>
      </c>
      <c r="E116" s="43">
        <v>61605.599999999999</v>
      </c>
      <c r="F116" s="43">
        <v>49990.8</v>
      </c>
      <c r="G116" s="43">
        <f t="shared" si="45"/>
        <v>198050</v>
      </c>
      <c r="H116" s="44">
        <f t="shared" si="46"/>
        <v>0.61498103102559265</v>
      </c>
      <c r="I116" s="43">
        <v>88403.6</v>
      </c>
      <c r="J116" s="43"/>
      <c r="K116" s="43"/>
      <c r="L116" s="43">
        <f t="shared" si="47"/>
        <v>88403.6</v>
      </c>
      <c r="M116" s="43">
        <v>88403.6</v>
      </c>
      <c r="N116" s="43">
        <f t="shared" ref="N116:N127" si="49">M116-L116</f>
        <v>0</v>
      </c>
      <c r="O116" s="43">
        <f t="shared" si="40"/>
        <v>100</v>
      </c>
      <c r="P116" s="43">
        <v>250000</v>
      </c>
      <c r="Q116" s="44">
        <f t="shared" ref="Q116:Q127" si="50">P116/24509630.1*100</f>
        <v>1.0200072338097015</v>
      </c>
      <c r="R116" s="43">
        <f t="shared" si="48"/>
        <v>63259.798033426858</v>
      </c>
      <c r="S116" s="43"/>
      <c r="T116" s="43"/>
      <c r="U116" s="43"/>
      <c r="V116" s="43">
        <v>7315</v>
      </c>
      <c r="W116" s="43"/>
      <c r="X116" s="43">
        <f t="shared" si="32"/>
        <v>70574.798033426865</v>
      </c>
      <c r="Y116" s="43"/>
      <c r="Z116" s="43">
        <f>D116</f>
        <v>70833.333333333328</v>
      </c>
      <c r="AA116" s="43"/>
      <c r="AB116" s="43"/>
      <c r="AC116" s="43"/>
      <c r="AD116" s="43">
        <f t="shared" si="33"/>
        <v>70833.333333333328</v>
      </c>
      <c r="AE116" s="43">
        <v>32200</v>
      </c>
      <c r="AF116" s="43"/>
      <c r="AG116" s="43"/>
      <c r="AH116" s="42">
        <f t="shared" si="34"/>
        <v>32200</v>
      </c>
      <c r="AI116" s="41">
        <f>32200+68000</f>
        <v>100200</v>
      </c>
      <c r="AJ116" s="40">
        <v>80000</v>
      </c>
      <c r="AK116" s="49">
        <v>50000</v>
      </c>
      <c r="AL116" s="39">
        <f t="shared" si="28"/>
        <v>50000</v>
      </c>
    </row>
    <row r="117" spans="1:38" s="18" customFormat="1" ht="13.2" x14ac:dyDescent="0.25">
      <c r="A117" s="46">
        <v>26634</v>
      </c>
      <c r="B117" s="45" t="s">
        <v>184</v>
      </c>
      <c r="C117" s="43">
        <v>190300.79999999999</v>
      </c>
      <c r="D117" s="43">
        <f t="shared" si="44"/>
        <v>15858.4</v>
      </c>
      <c r="E117" s="43">
        <v>88797.3</v>
      </c>
      <c r="F117" s="43">
        <v>4566.6000000000004</v>
      </c>
      <c r="G117" s="43">
        <f t="shared" si="45"/>
        <v>44340.0864</v>
      </c>
      <c r="H117" s="44">
        <f t="shared" si="46"/>
        <v>0.51450609054208141</v>
      </c>
      <c r="I117" s="43">
        <v>20816.5</v>
      </c>
      <c r="J117" s="43"/>
      <c r="K117" s="43"/>
      <c r="L117" s="43">
        <f t="shared" si="47"/>
        <v>20816.5</v>
      </c>
      <c r="M117" s="43">
        <v>11000</v>
      </c>
      <c r="N117" s="43">
        <f t="shared" si="49"/>
        <v>-9816.5</v>
      </c>
      <c r="O117" s="43">
        <f t="shared" si="40"/>
        <v>52.842696899094463</v>
      </c>
      <c r="P117" s="43">
        <v>38060.200000000012</v>
      </c>
      <c r="Q117" s="44">
        <f t="shared" si="50"/>
        <v>0.15528671728097604</v>
      </c>
      <c r="R117" s="43">
        <f t="shared" si="48"/>
        <v>9630.7222604473336</v>
      </c>
      <c r="S117" s="43">
        <f>225.42675*70-R117+1000-1000</f>
        <v>6149.1502395526659</v>
      </c>
      <c r="T117" s="43"/>
      <c r="U117" s="43"/>
      <c r="V117" s="43"/>
      <c r="W117" s="43"/>
      <c r="X117" s="43">
        <f t="shared" si="32"/>
        <v>15779.872499999999</v>
      </c>
      <c r="Y117" s="43"/>
      <c r="Z117" s="43">
        <f>D117</f>
        <v>15858.4</v>
      </c>
      <c r="AA117" s="43"/>
      <c r="AB117" s="43"/>
      <c r="AC117" s="43"/>
      <c r="AD117" s="43">
        <f t="shared" si="33"/>
        <v>15858.4</v>
      </c>
      <c r="AE117" s="43">
        <v>26145.8</v>
      </c>
      <c r="AF117" s="43"/>
      <c r="AG117" s="43"/>
      <c r="AH117" s="42">
        <f t="shared" si="34"/>
        <v>26145.8</v>
      </c>
      <c r="AI117" s="41">
        <v>7100</v>
      </c>
      <c r="AJ117" s="40">
        <v>16900</v>
      </c>
      <c r="AK117" s="49">
        <v>10850.2</v>
      </c>
      <c r="AL117" s="39">
        <f t="shared" si="28"/>
        <v>10850.2</v>
      </c>
    </row>
    <row r="118" spans="1:38" s="18" customFormat="1" ht="13.2" x14ac:dyDescent="0.25">
      <c r="A118" s="46">
        <v>26638</v>
      </c>
      <c r="B118" s="45" t="s">
        <v>183</v>
      </c>
      <c r="C118" s="43">
        <v>300000</v>
      </c>
      <c r="D118" s="43">
        <f t="shared" si="44"/>
        <v>25000</v>
      </c>
      <c r="E118" s="43">
        <v>305000</v>
      </c>
      <c r="F118" s="43"/>
      <c r="G118" s="43">
        <f t="shared" si="45"/>
        <v>69900</v>
      </c>
      <c r="H118" s="44">
        <f t="shared" si="46"/>
        <v>1.6807819469338237</v>
      </c>
      <c r="I118" s="43"/>
      <c r="J118" s="43"/>
      <c r="K118" s="43"/>
      <c r="L118" s="43">
        <f t="shared" si="47"/>
        <v>0</v>
      </c>
      <c r="M118" s="43"/>
      <c r="N118" s="43">
        <f t="shared" si="49"/>
        <v>0</v>
      </c>
      <c r="O118" s="43"/>
      <c r="P118" s="47"/>
      <c r="Q118" s="44">
        <f t="shared" si="50"/>
        <v>0</v>
      </c>
      <c r="R118" s="43">
        <f t="shared" si="48"/>
        <v>0</v>
      </c>
      <c r="S118" s="43"/>
      <c r="T118" s="43"/>
      <c r="U118" s="43"/>
      <c r="V118" s="43"/>
      <c r="W118" s="43"/>
      <c r="X118" s="43">
        <f t="shared" si="32"/>
        <v>0</v>
      </c>
      <c r="Y118" s="43"/>
      <c r="Z118" s="43">
        <f>Y118</f>
        <v>0</v>
      </c>
      <c r="AA118" s="43"/>
      <c r="AB118" s="43"/>
      <c r="AC118" s="43"/>
      <c r="AD118" s="43">
        <f t="shared" si="33"/>
        <v>0</v>
      </c>
      <c r="AE118" s="43"/>
      <c r="AF118" s="43"/>
      <c r="AG118" s="43"/>
      <c r="AH118" s="42">
        <f t="shared" si="34"/>
        <v>0</v>
      </c>
      <c r="AI118" s="41"/>
      <c r="AJ118" s="40">
        <v>0</v>
      </c>
      <c r="AK118" s="49"/>
      <c r="AL118" s="39">
        <f t="shared" si="28"/>
        <v>0</v>
      </c>
    </row>
    <row r="119" spans="1:38" s="18" customFormat="1" ht="20.399999999999999" x14ac:dyDescent="0.25">
      <c r="A119" s="46">
        <v>26635</v>
      </c>
      <c r="B119" s="45" t="s">
        <v>182</v>
      </c>
      <c r="C119" s="43">
        <v>92861.4</v>
      </c>
      <c r="D119" s="43">
        <f t="shared" si="44"/>
        <v>7738.45</v>
      </c>
      <c r="E119" s="43">
        <v>4444</v>
      </c>
      <c r="F119" s="43">
        <v>3811.5</v>
      </c>
      <c r="G119" s="43">
        <f t="shared" si="45"/>
        <v>21636.706200000001</v>
      </c>
      <c r="H119" s="44">
        <f t="shared" si="46"/>
        <v>4.5494083157089117E-2</v>
      </c>
      <c r="I119" s="43">
        <v>10316.700000000001</v>
      </c>
      <c r="J119" s="43"/>
      <c r="K119" s="43"/>
      <c r="L119" s="43">
        <f t="shared" si="47"/>
        <v>10316.700000000001</v>
      </c>
      <c r="M119" s="43">
        <v>8322.43</v>
      </c>
      <c r="N119" s="43">
        <f t="shared" si="49"/>
        <v>-1994.2700000000004</v>
      </c>
      <c r="O119" s="43">
        <f>M119/L119*100</f>
        <v>80.66949702908876</v>
      </c>
      <c r="P119" s="43">
        <v>22936.799999999999</v>
      </c>
      <c r="Q119" s="44">
        <f t="shared" si="50"/>
        <v>9.3582807681785452E-2</v>
      </c>
      <c r="R119" s="43">
        <f t="shared" si="48"/>
        <v>5803.9093421324214</v>
      </c>
      <c r="S119" s="43"/>
      <c r="T119" s="43"/>
      <c r="U119" s="43"/>
      <c r="V119" s="43"/>
      <c r="W119" s="43"/>
      <c r="X119" s="43">
        <f t="shared" si="32"/>
        <v>5803.9093421324214</v>
      </c>
      <c r="Y119" s="43"/>
      <c r="Z119" s="43">
        <f>D119</f>
        <v>7738.45</v>
      </c>
      <c r="AA119" s="43"/>
      <c r="AB119" s="43"/>
      <c r="AC119" s="43"/>
      <c r="AD119" s="43">
        <f t="shared" si="33"/>
        <v>7738.45</v>
      </c>
      <c r="AE119" s="43">
        <v>600</v>
      </c>
      <c r="AF119" s="43"/>
      <c r="AG119" s="43"/>
      <c r="AH119" s="42">
        <f t="shared" si="34"/>
        <v>600</v>
      </c>
      <c r="AI119" s="41">
        <f>1000+7000</f>
        <v>8000</v>
      </c>
      <c r="AJ119" s="40">
        <v>7000</v>
      </c>
      <c r="AK119" s="49">
        <f>7000-6000</f>
        <v>1000</v>
      </c>
      <c r="AL119" s="39">
        <f t="shared" si="28"/>
        <v>1000</v>
      </c>
    </row>
    <row r="120" spans="1:38" s="18" customFormat="1" ht="13.2" x14ac:dyDescent="0.25">
      <c r="A120" s="46">
        <v>26638</v>
      </c>
      <c r="B120" s="45" t="s">
        <v>181</v>
      </c>
      <c r="C120" s="43">
        <v>100000</v>
      </c>
      <c r="D120" s="43">
        <f t="shared" si="44"/>
        <v>8333.3333333333339</v>
      </c>
      <c r="E120" s="43"/>
      <c r="F120" s="43"/>
      <c r="G120" s="43">
        <f t="shared" si="45"/>
        <v>23300</v>
      </c>
      <c r="H120" s="44">
        <v>0.12514600000000001</v>
      </c>
      <c r="I120" s="43"/>
      <c r="J120" s="43"/>
      <c r="K120" s="43"/>
      <c r="L120" s="43">
        <f t="shared" si="47"/>
        <v>0</v>
      </c>
      <c r="M120" s="47"/>
      <c r="N120" s="43">
        <f t="shared" si="49"/>
        <v>0</v>
      </c>
      <c r="O120" s="43"/>
      <c r="P120" s="43">
        <v>20000</v>
      </c>
      <c r="Q120" s="44">
        <f t="shared" si="50"/>
        <v>8.1600578704776119E-2</v>
      </c>
      <c r="R120" s="43">
        <f>6201897*Q120/100-5060.8</f>
        <v>-1.6157325851054338E-2</v>
      </c>
      <c r="S120" s="43"/>
      <c r="T120" s="43"/>
      <c r="U120" s="43"/>
      <c r="V120" s="43"/>
      <c r="W120" s="43"/>
      <c r="X120" s="43">
        <f t="shared" si="32"/>
        <v>-1.6157325851054338E-2</v>
      </c>
      <c r="Y120" s="43"/>
      <c r="Z120" s="43">
        <f>Y120</f>
        <v>0</v>
      </c>
      <c r="AA120" s="43"/>
      <c r="AB120" s="43"/>
      <c r="AC120" s="43"/>
      <c r="AD120" s="43">
        <f t="shared" si="33"/>
        <v>0</v>
      </c>
      <c r="AE120" s="43"/>
      <c r="AF120" s="43"/>
      <c r="AG120" s="43"/>
      <c r="AH120" s="42">
        <f t="shared" si="34"/>
        <v>0</v>
      </c>
      <c r="AI120" s="41"/>
      <c r="AJ120" s="40">
        <v>0</v>
      </c>
      <c r="AK120" s="49"/>
      <c r="AL120" s="39">
        <f t="shared" si="28"/>
        <v>0</v>
      </c>
    </row>
    <row r="121" spans="1:38" s="18" customFormat="1" ht="20.399999999999999" x14ac:dyDescent="0.25">
      <c r="A121" s="46">
        <v>26636</v>
      </c>
      <c r="B121" s="45" t="s">
        <v>180</v>
      </c>
      <c r="C121" s="43">
        <v>400000</v>
      </c>
      <c r="D121" s="43">
        <f t="shared" si="44"/>
        <v>33333.333333333336</v>
      </c>
      <c r="E121" s="43"/>
      <c r="F121" s="43">
        <v>50856</v>
      </c>
      <c r="G121" s="43">
        <f t="shared" si="45"/>
        <v>93200</v>
      </c>
      <c r="H121" s="44">
        <f>(E121+F121)/(8725103.2+9421212.6)*100</f>
        <v>0.28025523505989025</v>
      </c>
      <c r="I121" s="43">
        <v>55944</v>
      </c>
      <c r="J121" s="43"/>
      <c r="K121" s="43">
        <v>22128.5</v>
      </c>
      <c r="L121" s="43">
        <f t="shared" si="47"/>
        <v>78072.5</v>
      </c>
      <c r="M121" s="43">
        <v>78072.5</v>
      </c>
      <c r="N121" s="43">
        <f t="shared" si="49"/>
        <v>0</v>
      </c>
      <c r="O121" s="43">
        <f>M121/L121*100</f>
        <v>100</v>
      </c>
      <c r="P121" s="43">
        <v>237814.2</v>
      </c>
      <c r="Q121" s="44">
        <f t="shared" si="50"/>
        <v>0.97028881721066851</v>
      </c>
      <c r="R121" s="43">
        <f>6201897*Q121/100</f>
        <v>60176.313045923933</v>
      </c>
      <c r="S121" s="43">
        <v>103300</v>
      </c>
      <c r="T121" s="43"/>
      <c r="U121" s="43"/>
      <c r="V121" s="43"/>
      <c r="W121" s="43"/>
      <c r="X121" s="43">
        <f t="shared" si="32"/>
        <v>163476.31304592395</v>
      </c>
      <c r="Y121" s="43"/>
      <c r="Z121" s="43">
        <f>D121</f>
        <v>33333.333333333336</v>
      </c>
      <c r="AA121" s="43">
        <v>9753.2000000000007</v>
      </c>
      <c r="AB121" s="43"/>
      <c r="AC121" s="43"/>
      <c r="AD121" s="43">
        <f t="shared" si="33"/>
        <v>43086.53333333334</v>
      </c>
      <c r="AE121" s="43">
        <v>31317</v>
      </c>
      <c r="AF121" s="43"/>
      <c r="AG121" s="43"/>
      <c r="AH121" s="42">
        <f t="shared" si="34"/>
        <v>31317</v>
      </c>
      <c r="AI121" s="41">
        <f>10251</f>
        <v>10251</v>
      </c>
      <c r="AJ121" s="40">
        <v>80196</v>
      </c>
      <c r="AK121" s="49">
        <v>9026.2999999999993</v>
      </c>
      <c r="AL121" s="39">
        <f t="shared" si="28"/>
        <v>9026.2999999999993</v>
      </c>
    </row>
    <row r="122" spans="1:38" s="18" customFormat="1" ht="13.2" x14ac:dyDescent="0.25">
      <c r="A122" s="46">
        <v>26638</v>
      </c>
      <c r="B122" s="45" t="s">
        <v>179</v>
      </c>
      <c r="C122" s="43"/>
      <c r="D122" s="43"/>
      <c r="E122" s="43"/>
      <c r="F122" s="43">
        <v>260000</v>
      </c>
      <c r="G122" s="43"/>
      <c r="H122" s="44">
        <f>(E122+F122)/(8725103.2+9421212.6)*100</f>
        <v>1.4327977252550628</v>
      </c>
      <c r="I122" s="43"/>
      <c r="J122" s="43">
        <v>500000</v>
      </c>
      <c r="K122" s="43"/>
      <c r="L122" s="43">
        <f t="shared" si="47"/>
        <v>500000</v>
      </c>
      <c r="M122" s="43">
        <v>500000</v>
      </c>
      <c r="N122" s="43">
        <f t="shared" si="49"/>
        <v>0</v>
      </c>
      <c r="O122" s="43">
        <f>M122/L122*100</f>
        <v>100</v>
      </c>
      <c r="P122" s="43"/>
      <c r="Q122" s="44">
        <f t="shared" si="50"/>
        <v>0</v>
      </c>
      <c r="R122" s="43">
        <f>6201897*Q122/100</f>
        <v>0</v>
      </c>
      <c r="S122" s="43"/>
      <c r="T122" s="43"/>
      <c r="U122" s="43"/>
      <c r="V122" s="43">
        <v>85000</v>
      </c>
      <c r="W122" s="43"/>
      <c r="X122" s="43">
        <f t="shared" si="32"/>
        <v>85000</v>
      </c>
      <c r="Y122" s="43"/>
      <c r="Z122" s="43">
        <f>Y122</f>
        <v>0</v>
      </c>
      <c r="AA122" s="43"/>
      <c r="AB122" s="43"/>
      <c r="AC122" s="43">
        <v>8000</v>
      </c>
      <c r="AD122" s="43">
        <f t="shared" si="33"/>
        <v>8000</v>
      </c>
      <c r="AE122" s="43"/>
      <c r="AF122" s="43"/>
      <c r="AG122" s="43"/>
      <c r="AH122" s="42">
        <f t="shared" si="34"/>
        <v>0</v>
      </c>
      <c r="AI122" s="41">
        <f>7022</f>
        <v>7022</v>
      </c>
      <c r="AJ122" s="40">
        <v>200000</v>
      </c>
      <c r="AK122" s="49"/>
      <c r="AL122" s="39">
        <f t="shared" si="28"/>
        <v>0</v>
      </c>
    </row>
    <row r="123" spans="1:38" s="18" customFormat="1" ht="13.2" x14ac:dyDescent="0.25">
      <c r="A123" s="46">
        <v>26637</v>
      </c>
      <c r="B123" s="45" t="s">
        <v>178</v>
      </c>
      <c r="C123" s="43"/>
      <c r="D123" s="43"/>
      <c r="E123" s="43"/>
      <c r="F123" s="43"/>
      <c r="G123" s="43"/>
      <c r="H123" s="44"/>
      <c r="I123" s="43"/>
      <c r="J123" s="43">
        <v>478279.4</v>
      </c>
      <c r="K123" s="43"/>
      <c r="L123" s="43">
        <f t="shared" si="47"/>
        <v>478279.4</v>
      </c>
      <c r="M123" s="43">
        <v>478279.4</v>
      </c>
      <c r="N123" s="43">
        <f t="shared" si="49"/>
        <v>0</v>
      </c>
      <c r="O123" s="43">
        <f>M123/L123*100</f>
        <v>100</v>
      </c>
      <c r="P123" s="43"/>
      <c r="Q123" s="44">
        <f t="shared" si="50"/>
        <v>0</v>
      </c>
      <c r="R123" s="43">
        <f>6201897*Q123/100</f>
        <v>0</v>
      </c>
      <c r="S123" s="43"/>
      <c r="T123" s="43"/>
      <c r="U123" s="43"/>
      <c r="V123" s="43"/>
      <c r="W123" s="43"/>
      <c r="X123" s="43">
        <f t="shared" si="32"/>
        <v>0</v>
      </c>
      <c r="Y123" s="43"/>
      <c r="Z123" s="43">
        <f>Y123</f>
        <v>0</v>
      </c>
      <c r="AA123" s="43"/>
      <c r="AB123" s="43"/>
      <c r="AC123" s="43"/>
      <c r="AD123" s="43">
        <f t="shared" si="33"/>
        <v>0</v>
      </c>
      <c r="AE123" s="43"/>
      <c r="AF123" s="43"/>
      <c r="AG123" s="43"/>
      <c r="AH123" s="42">
        <f t="shared" si="34"/>
        <v>0</v>
      </c>
      <c r="AI123" s="41"/>
      <c r="AJ123" s="40">
        <v>0</v>
      </c>
      <c r="AK123" s="49"/>
      <c r="AL123" s="39">
        <f t="shared" si="28"/>
        <v>0</v>
      </c>
    </row>
    <row r="124" spans="1:38" s="18" customFormat="1" ht="13.2" x14ac:dyDescent="0.25">
      <c r="A124" s="46">
        <v>26639</v>
      </c>
      <c r="B124" s="45" t="s">
        <v>177</v>
      </c>
      <c r="C124" s="43"/>
      <c r="D124" s="43"/>
      <c r="E124" s="43"/>
      <c r="F124" s="43"/>
      <c r="G124" s="43"/>
      <c r="H124" s="44"/>
      <c r="I124" s="43"/>
      <c r="J124" s="43"/>
      <c r="K124" s="43"/>
      <c r="L124" s="43">
        <f t="shared" si="47"/>
        <v>0</v>
      </c>
      <c r="M124" s="43">
        <v>0</v>
      </c>
      <c r="N124" s="43">
        <f t="shared" si="49"/>
        <v>0</v>
      </c>
      <c r="O124" s="43"/>
      <c r="P124" s="47"/>
      <c r="Q124" s="44">
        <f t="shared" si="50"/>
        <v>0</v>
      </c>
      <c r="R124" s="43">
        <f>6201897*Q124/100</f>
        <v>0</v>
      </c>
      <c r="S124" s="43"/>
      <c r="T124" s="43"/>
      <c r="U124" s="43"/>
      <c r="V124" s="43"/>
      <c r="W124" s="43"/>
      <c r="X124" s="43">
        <f t="shared" si="32"/>
        <v>0</v>
      </c>
      <c r="Y124" s="43"/>
      <c r="Z124" s="43">
        <f>Y124</f>
        <v>0</v>
      </c>
      <c r="AA124" s="43"/>
      <c r="AB124" s="43"/>
      <c r="AC124" s="43"/>
      <c r="AD124" s="43">
        <f t="shared" si="33"/>
        <v>0</v>
      </c>
      <c r="AE124" s="43">
        <v>35539</v>
      </c>
      <c r="AF124" s="43"/>
      <c r="AG124" s="43"/>
      <c r="AH124" s="42">
        <f t="shared" si="34"/>
        <v>35539</v>
      </c>
      <c r="AI124" s="41"/>
      <c r="AJ124" s="40">
        <v>0</v>
      </c>
      <c r="AK124" s="49"/>
      <c r="AL124" s="39">
        <f t="shared" si="28"/>
        <v>0</v>
      </c>
    </row>
    <row r="125" spans="1:38" s="18" customFormat="1" ht="13.2" x14ac:dyDescent="0.25">
      <c r="A125" s="46">
        <v>26640</v>
      </c>
      <c r="B125" s="45" t="s">
        <v>176</v>
      </c>
      <c r="C125" s="43">
        <v>4760984.4000000004</v>
      </c>
      <c r="D125" s="43">
        <f>C125/12</f>
        <v>396748.7</v>
      </c>
      <c r="E125" s="43"/>
      <c r="F125" s="43">
        <v>399100</v>
      </c>
      <c r="G125" s="43">
        <f>C125*23.3/100</f>
        <v>1109309.3652000001</v>
      </c>
      <c r="H125" s="44">
        <f>(E125+F125)/(8725103.2+9421212.6)*100</f>
        <v>2.1993445082665213</v>
      </c>
      <c r="I125" s="43">
        <v>291649.59999999998</v>
      </c>
      <c r="J125" s="43"/>
      <c r="K125" s="43"/>
      <c r="L125" s="43">
        <f t="shared" si="47"/>
        <v>291649.59999999998</v>
      </c>
      <c r="M125" s="43">
        <v>284127.90000000002</v>
      </c>
      <c r="N125" s="43">
        <f t="shared" si="49"/>
        <v>-7521.6999999999534</v>
      </c>
      <c r="O125" s="43">
        <f>M125/L125*100</f>
        <v>97.420980519088673</v>
      </c>
      <c r="P125" s="43">
        <v>1339037.7999999998</v>
      </c>
      <c r="Q125" s="44">
        <f t="shared" si="50"/>
        <v>5.4633129693785127</v>
      </c>
      <c r="R125" s="43">
        <f>6201897*Q125/100</f>
        <v>338829.04314849689</v>
      </c>
      <c r="S125" s="43"/>
      <c r="T125" s="43"/>
      <c r="U125" s="43">
        <v>854465.4</v>
      </c>
      <c r="V125" s="43"/>
      <c r="W125" s="43"/>
      <c r="X125" s="43">
        <f t="shared" si="32"/>
        <v>1193294.443148497</v>
      </c>
      <c r="Y125" s="43"/>
      <c r="Z125" s="43">
        <v>120000</v>
      </c>
      <c r="AA125" s="43">
        <f>50000+20000+170000</f>
        <v>240000</v>
      </c>
      <c r="AB125" s="43">
        <v>282250</v>
      </c>
      <c r="AC125" s="43"/>
      <c r="AD125" s="43">
        <f t="shared" si="33"/>
        <v>642250</v>
      </c>
      <c r="AE125" s="43">
        <f>600000-500000</f>
        <v>100000</v>
      </c>
      <c r="AF125" s="43">
        <f>80000+19900+199770.7+400000+260000</f>
        <v>959670.7</v>
      </c>
      <c r="AG125" s="43">
        <f>25000+40000</f>
        <v>65000</v>
      </c>
      <c r="AH125" s="42">
        <f t="shared" si="34"/>
        <v>1124670.7</v>
      </c>
      <c r="AI125" s="41">
        <f>330000+691000+379000+120000</f>
        <v>1520000</v>
      </c>
      <c r="AJ125" s="40">
        <v>1585000</v>
      </c>
      <c r="AK125" s="49">
        <v>201267</v>
      </c>
      <c r="AL125" s="39">
        <f t="shared" si="28"/>
        <v>201267</v>
      </c>
    </row>
    <row r="126" spans="1:38" s="18" customFormat="1" ht="13.5" customHeight="1" x14ac:dyDescent="0.25">
      <c r="A126" s="46">
        <v>26652</v>
      </c>
      <c r="B126" s="45" t="s">
        <v>175</v>
      </c>
      <c r="C126" s="43">
        <v>500000</v>
      </c>
      <c r="D126" s="43">
        <f>C126/12</f>
        <v>41666.666666666664</v>
      </c>
      <c r="E126" s="43"/>
      <c r="F126" s="43"/>
      <c r="G126" s="43">
        <f>C126*23.3/100</f>
        <v>116500</v>
      </c>
      <c r="H126" s="44">
        <f>(E126+F126)/(8725103.2+9421212.6)*100</f>
        <v>0</v>
      </c>
      <c r="I126" s="43">
        <f>7990664.7*H126/100</f>
        <v>0</v>
      </c>
      <c r="J126" s="43">
        <v>2500</v>
      </c>
      <c r="K126" s="43"/>
      <c r="L126" s="43">
        <f t="shared" si="47"/>
        <v>2500</v>
      </c>
      <c r="M126" s="43">
        <v>2500</v>
      </c>
      <c r="N126" s="43">
        <f t="shared" si="49"/>
        <v>0</v>
      </c>
      <c r="O126" s="43">
        <f>M126/L126*100</f>
        <v>100</v>
      </c>
      <c r="P126" s="43">
        <v>247500</v>
      </c>
      <c r="Q126" s="44">
        <f t="shared" si="50"/>
        <v>1.0098071614716047</v>
      </c>
      <c r="R126" s="43">
        <f>6201897*Q126/100-62627.2</f>
        <v>5.3092604503035545E-5</v>
      </c>
      <c r="S126" s="43"/>
      <c r="T126" s="43"/>
      <c r="U126" s="43"/>
      <c r="V126" s="43"/>
      <c r="W126" s="43"/>
      <c r="X126" s="91">
        <f t="shared" ref="X126:X162" si="51">SUM(R126:V126)</f>
        <v>5.3092604503035545E-5</v>
      </c>
      <c r="Y126" s="43">
        <v>82500</v>
      </c>
      <c r="Z126" s="43">
        <f>D126</f>
        <v>41666.666666666664</v>
      </c>
      <c r="AA126" s="43"/>
      <c r="AB126" s="43"/>
      <c r="AC126" s="43"/>
      <c r="AD126" s="43">
        <f t="shared" ref="AD126:AD158" si="52">SUM(Z126:AC126)</f>
        <v>41666.666666666664</v>
      </c>
      <c r="AE126" s="43"/>
      <c r="AF126" s="43">
        <v>43400</v>
      </c>
      <c r="AG126" s="43"/>
      <c r="AH126" s="42">
        <f t="shared" ref="AH126:AH158" si="53">AE126+AF126+AG126</f>
        <v>43400</v>
      </c>
      <c r="AI126" s="41">
        <v>43400</v>
      </c>
      <c r="AJ126" s="40">
        <v>89150</v>
      </c>
      <c r="AK126" s="49"/>
      <c r="AL126" s="39">
        <f t="shared" si="28"/>
        <v>0</v>
      </c>
    </row>
    <row r="127" spans="1:38" s="18" customFormat="1" ht="13.2" x14ac:dyDescent="0.25">
      <c r="A127" s="46">
        <v>26653</v>
      </c>
      <c r="B127" s="45" t="s">
        <v>174</v>
      </c>
      <c r="C127" s="43">
        <v>8103602.5999999996</v>
      </c>
      <c r="D127" s="43">
        <f>C127/12</f>
        <v>675300.21666666667</v>
      </c>
      <c r="E127" s="43"/>
      <c r="F127" s="43"/>
      <c r="G127" s="43">
        <f>C127*23.3/100</f>
        <v>1888139.4057999998</v>
      </c>
      <c r="H127" s="44">
        <f>(E127+F127)/(8725103.2+9421212.6)*100</f>
        <v>0</v>
      </c>
      <c r="I127" s="43"/>
      <c r="J127" s="43"/>
      <c r="K127" s="43"/>
      <c r="L127" s="43">
        <f t="shared" si="47"/>
        <v>0</v>
      </c>
      <c r="M127" s="47"/>
      <c r="N127" s="43">
        <f t="shared" si="49"/>
        <v>0</v>
      </c>
      <c r="O127" s="43"/>
      <c r="P127" s="43">
        <v>450549.90000000014</v>
      </c>
      <c r="Q127" s="44">
        <f t="shared" si="50"/>
        <v>1.838256628768951</v>
      </c>
      <c r="R127" s="43">
        <f>6201897*Q127/100-114006.8</f>
        <v>-1.7288077287958004E-2</v>
      </c>
      <c r="S127" s="43"/>
      <c r="T127" s="43"/>
      <c r="U127" s="43"/>
      <c r="V127" s="43"/>
      <c r="W127" s="43"/>
      <c r="X127" s="91">
        <f t="shared" si="51"/>
        <v>-1.7288077287958004E-2</v>
      </c>
      <c r="Y127" s="43">
        <v>101537</v>
      </c>
      <c r="Z127" s="43"/>
      <c r="AA127" s="43"/>
      <c r="AB127" s="43"/>
      <c r="AC127" s="43"/>
      <c r="AD127" s="43">
        <f t="shared" si="52"/>
        <v>0</v>
      </c>
      <c r="AE127" s="43"/>
      <c r="AF127" s="43"/>
      <c r="AG127" s="43"/>
      <c r="AH127" s="42">
        <f t="shared" si="53"/>
        <v>0</v>
      </c>
      <c r="AI127" s="41"/>
      <c r="AJ127" s="40">
        <v>0</v>
      </c>
      <c r="AK127" s="49"/>
      <c r="AL127" s="39">
        <f t="shared" ref="AL127:AL190" si="54">AK127</f>
        <v>0</v>
      </c>
    </row>
    <row r="128" spans="1:38" s="18" customFormat="1" ht="20.399999999999999" x14ac:dyDescent="0.25">
      <c r="A128" s="46">
        <v>26655</v>
      </c>
      <c r="B128" s="45" t="s">
        <v>324</v>
      </c>
      <c r="C128" s="43"/>
      <c r="D128" s="43"/>
      <c r="E128" s="43"/>
      <c r="F128" s="43"/>
      <c r="G128" s="43"/>
      <c r="H128" s="44"/>
      <c r="I128" s="43"/>
      <c r="J128" s="43"/>
      <c r="K128" s="43"/>
      <c r="L128" s="43"/>
      <c r="M128" s="43"/>
      <c r="N128" s="43"/>
      <c r="O128" s="43"/>
      <c r="P128" s="43"/>
      <c r="Q128" s="44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2"/>
      <c r="AI128" s="41"/>
      <c r="AJ128" s="40">
        <v>10000</v>
      </c>
      <c r="AK128" s="49"/>
      <c r="AL128" s="39">
        <f t="shared" si="54"/>
        <v>0</v>
      </c>
    </row>
    <row r="129" spans="1:38" s="18" customFormat="1" ht="20.399999999999999" x14ac:dyDescent="0.25">
      <c r="A129" s="46">
        <v>26660</v>
      </c>
      <c r="B129" s="45" t="s">
        <v>173</v>
      </c>
      <c r="C129" s="43"/>
      <c r="D129" s="43"/>
      <c r="E129" s="43"/>
      <c r="F129" s="43"/>
      <c r="G129" s="43"/>
      <c r="H129" s="44"/>
      <c r="I129" s="43"/>
      <c r="J129" s="43"/>
      <c r="K129" s="43"/>
      <c r="L129" s="43"/>
      <c r="M129" s="43"/>
      <c r="N129" s="43"/>
      <c r="O129" s="43"/>
      <c r="P129" s="43"/>
      <c r="Q129" s="44"/>
      <c r="R129" s="43"/>
      <c r="S129" s="43"/>
      <c r="T129" s="43"/>
      <c r="U129" s="43">
        <f>31045.4+20000</f>
        <v>51045.4</v>
      </c>
      <c r="V129" s="43"/>
      <c r="W129" s="43"/>
      <c r="X129" s="43">
        <f t="shared" si="51"/>
        <v>51045.4</v>
      </c>
      <c r="Y129" s="43"/>
      <c r="Z129" s="43">
        <f t="shared" ref="Z129:Z162" si="55">Y129</f>
        <v>0</v>
      </c>
      <c r="AA129" s="43">
        <f>31045.4+20000</f>
        <v>51045.4</v>
      </c>
      <c r="AB129" s="43"/>
      <c r="AC129" s="43"/>
      <c r="AD129" s="43">
        <f t="shared" si="52"/>
        <v>51045.4</v>
      </c>
      <c r="AE129" s="43"/>
      <c r="AF129" s="43"/>
      <c r="AG129" s="43"/>
      <c r="AH129" s="42">
        <f t="shared" si="53"/>
        <v>0</v>
      </c>
      <c r="AI129" s="41"/>
      <c r="AJ129" s="40">
        <v>10000</v>
      </c>
      <c r="AK129" s="49"/>
      <c r="AL129" s="39">
        <f t="shared" si="54"/>
        <v>0</v>
      </c>
    </row>
    <row r="130" spans="1:38" s="18" customFormat="1" ht="20.399999999999999" x14ac:dyDescent="0.25">
      <c r="A130" s="46">
        <v>26720</v>
      </c>
      <c r="B130" s="45" t="s">
        <v>172</v>
      </c>
      <c r="C130" s="43">
        <v>174147.1</v>
      </c>
      <c r="D130" s="43">
        <f t="shared" ref="D130:D160" si="56">C130/12</f>
        <v>14512.258333333333</v>
      </c>
      <c r="E130" s="43">
        <v>9776.5</v>
      </c>
      <c r="F130" s="43">
        <v>10259.700000000001</v>
      </c>
      <c r="G130" s="43">
        <f t="shared" ref="G130:G160" si="57">C130*23.3/100</f>
        <v>40576.274300000005</v>
      </c>
      <c r="H130" s="44">
        <f t="shared" ref="H130:H137" si="58">(E130+F130)/(8725103.2+9421212.6)*100</f>
        <v>0.1104146991644442</v>
      </c>
      <c r="I130" s="43">
        <v>18482.7</v>
      </c>
      <c r="J130" s="43"/>
      <c r="K130" s="43">
        <v>-336.8</v>
      </c>
      <c r="L130" s="43">
        <f t="shared" ref="L130:L160" si="59">SUM(I130:K130)</f>
        <v>18145.900000000001</v>
      </c>
      <c r="M130" s="43">
        <v>18143.5</v>
      </c>
      <c r="N130" s="43">
        <f t="shared" ref="N130:N160" si="60">M130-L130</f>
        <v>-2.4000000000014552</v>
      </c>
      <c r="O130" s="43">
        <f t="shared" ref="O130:O137" si="61">M130/L130*100</f>
        <v>99.986773871783697</v>
      </c>
      <c r="P130" s="43">
        <v>46804.399999999994</v>
      </c>
      <c r="Q130" s="44">
        <f t="shared" ref="Q130:Q160" si="62">P130/24509630.1*100</f>
        <v>0.19096330629649114</v>
      </c>
      <c r="R130" s="43">
        <f t="shared" ref="R130:R137" si="63">6201897*Q130/100</f>
        <v>11843.347564302894</v>
      </c>
      <c r="S130" s="43">
        <v>3758.1</v>
      </c>
      <c r="T130" s="43"/>
      <c r="U130" s="43"/>
      <c r="V130" s="43"/>
      <c r="W130" s="43"/>
      <c r="X130" s="43">
        <f t="shared" si="51"/>
        <v>15601.447564302895</v>
      </c>
      <c r="Y130" s="43">
        <v>10827</v>
      </c>
      <c r="Z130" s="43">
        <f t="shared" si="55"/>
        <v>10827</v>
      </c>
      <c r="AA130" s="43"/>
      <c r="AB130" s="43"/>
      <c r="AC130" s="43">
        <v>5149.8999999999996</v>
      </c>
      <c r="AD130" s="43">
        <f t="shared" si="52"/>
        <v>15976.9</v>
      </c>
      <c r="AE130" s="43">
        <v>11706.599999999999</v>
      </c>
      <c r="AF130" s="43"/>
      <c r="AG130" s="43"/>
      <c r="AH130" s="42">
        <f t="shared" si="53"/>
        <v>11706.599999999999</v>
      </c>
      <c r="AI130" s="41">
        <f>13500+2000+2500</f>
        <v>18000</v>
      </c>
      <c r="AJ130" s="40">
        <v>17615</v>
      </c>
      <c r="AK130" s="49">
        <f>18000-6000</f>
        <v>12000</v>
      </c>
      <c r="AL130" s="39">
        <f t="shared" si="54"/>
        <v>12000</v>
      </c>
    </row>
    <row r="131" spans="1:38" s="18" customFormat="1" ht="20.399999999999999" x14ac:dyDescent="0.25">
      <c r="A131" s="46">
        <v>26730</v>
      </c>
      <c r="B131" s="45" t="s">
        <v>171</v>
      </c>
      <c r="C131" s="43">
        <v>307240.40000000002</v>
      </c>
      <c r="D131" s="43">
        <f t="shared" si="56"/>
        <v>25603.366666666669</v>
      </c>
      <c r="E131" s="43">
        <v>19599.2</v>
      </c>
      <c r="F131" s="43">
        <v>22754.9</v>
      </c>
      <c r="G131" s="43">
        <f t="shared" si="57"/>
        <v>71587.013200000001</v>
      </c>
      <c r="H131" s="44">
        <f t="shared" si="58"/>
        <v>0.23340330052009792</v>
      </c>
      <c r="I131" s="43">
        <v>25366.2</v>
      </c>
      <c r="J131" s="43"/>
      <c r="K131" s="43"/>
      <c r="L131" s="43">
        <f t="shared" si="59"/>
        <v>25366.2</v>
      </c>
      <c r="M131" s="43">
        <v>25366.2</v>
      </c>
      <c r="N131" s="43">
        <f t="shared" si="60"/>
        <v>0</v>
      </c>
      <c r="O131" s="43">
        <f t="shared" si="61"/>
        <v>100</v>
      </c>
      <c r="P131" s="43">
        <v>86287.8</v>
      </c>
      <c r="Q131" s="44">
        <f t="shared" si="62"/>
        <v>0.35205672075809907</v>
      </c>
      <c r="R131" s="43">
        <f t="shared" si="63"/>
        <v>21834.195202994924</v>
      </c>
      <c r="S131" s="43">
        <v>3000</v>
      </c>
      <c r="T131" s="43">
        <v>2050</v>
      </c>
      <c r="U131" s="43"/>
      <c r="V131" s="43"/>
      <c r="W131" s="43"/>
      <c r="X131" s="43">
        <f t="shared" si="51"/>
        <v>26884.195202994924</v>
      </c>
      <c r="Y131" s="43">
        <v>20361</v>
      </c>
      <c r="Z131" s="43">
        <f t="shared" si="55"/>
        <v>20361</v>
      </c>
      <c r="AA131" s="43"/>
      <c r="AB131" s="43"/>
      <c r="AC131" s="43">
        <v>3500</v>
      </c>
      <c r="AD131" s="43">
        <f t="shared" si="52"/>
        <v>23861</v>
      </c>
      <c r="AE131" s="43">
        <v>21234.199999999997</v>
      </c>
      <c r="AF131" s="43"/>
      <c r="AG131" s="43"/>
      <c r="AH131" s="42">
        <f t="shared" si="53"/>
        <v>21234.199999999997</v>
      </c>
      <c r="AI131" s="41">
        <f>24955.8+1000</f>
        <v>25955.8</v>
      </c>
      <c r="AJ131" s="40">
        <v>31487.8</v>
      </c>
      <c r="AK131" s="49">
        <f>30000-8000</f>
        <v>22000</v>
      </c>
      <c r="AL131" s="39">
        <f t="shared" si="54"/>
        <v>22000</v>
      </c>
    </row>
    <row r="132" spans="1:38" s="18" customFormat="1" ht="14.25" customHeight="1" x14ac:dyDescent="0.25">
      <c r="A132" s="46">
        <v>28230</v>
      </c>
      <c r="B132" s="45" t="s">
        <v>170</v>
      </c>
      <c r="C132" s="43">
        <v>27036.6</v>
      </c>
      <c r="D132" s="43">
        <f t="shared" si="56"/>
        <v>2253.0499999999997</v>
      </c>
      <c r="E132" s="43">
        <v>1756.3</v>
      </c>
      <c r="F132" s="43">
        <v>2086.6</v>
      </c>
      <c r="G132" s="43">
        <f t="shared" si="57"/>
        <v>6299.5277999999998</v>
      </c>
      <c r="H132" s="44">
        <f t="shared" si="58"/>
        <v>2.1177301455318001E-2</v>
      </c>
      <c r="I132" s="43">
        <v>1980.8</v>
      </c>
      <c r="J132" s="43"/>
      <c r="K132" s="43"/>
      <c r="L132" s="43">
        <f t="shared" si="59"/>
        <v>1980.8</v>
      </c>
      <c r="M132" s="43">
        <v>1371.4</v>
      </c>
      <c r="N132" s="43">
        <f t="shared" si="60"/>
        <v>-609.39999999999986</v>
      </c>
      <c r="O132" s="43">
        <f t="shared" si="61"/>
        <v>69.234652665589664</v>
      </c>
      <c r="P132" s="43">
        <v>7182.4000000000005</v>
      </c>
      <c r="Q132" s="44">
        <f t="shared" si="62"/>
        <v>2.9304399824459201E-2</v>
      </c>
      <c r="R132" s="43">
        <f t="shared" si="63"/>
        <v>1817.4286935811406</v>
      </c>
      <c r="S132" s="43"/>
      <c r="T132" s="43"/>
      <c r="U132" s="43"/>
      <c r="V132" s="43"/>
      <c r="W132" s="43"/>
      <c r="X132" s="43">
        <f t="shared" si="51"/>
        <v>1817.4286935811406</v>
      </c>
      <c r="Y132" s="43">
        <v>1595</v>
      </c>
      <c r="Z132" s="43">
        <f t="shared" si="55"/>
        <v>1595</v>
      </c>
      <c r="AA132" s="43"/>
      <c r="AB132" s="43"/>
      <c r="AC132" s="43">
        <v>350</v>
      </c>
      <c r="AD132" s="43">
        <f t="shared" si="52"/>
        <v>1945</v>
      </c>
      <c r="AE132" s="43">
        <v>2146.7000000000003</v>
      </c>
      <c r="AF132" s="43"/>
      <c r="AG132" s="43"/>
      <c r="AH132" s="42">
        <f t="shared" si="53"/>
        <v>2146.7000000000003</v>
      </c>
      <c r="AI132" s="41">
        <v>2312.5</v>
      </c>
      <c r="AJ132" s="40">
        <v>1815.5</v>
      </c>
      <c r="AK132" s="49">
        <f>2307.8-700</f>
        <v>1607.8000000000002</v>
      </c>
      <c r="AL132" s="39">
        <f t="shared" si="54"/>
        <v>1607.8000000000002</v>
      </c>
    </row>
    <row r="133" spans="1:38" s="18" customFormat="1" ht="13.2" x14ac:dyDescent="0.25">
      <c r="A133" s="46">
        <v>28240</v>
      </c>
      <c r="B133" s="45" t="s">
        <v>169</v>
      </c>
      <c r="C133" s="43">
        <v>11009.9</v>
      </c>
      <c r="D133" s="43">
        <f t="shared" si="56"/>
        <v>917.49166666666667</v>
      </c>
      <c r="E133" s="43">
        <v>909.6</v>
      </c>
      <c r="F133" s="43">
        <v>868</v>
      </c>
      <c r="G133" s="43">
        <f t="shared" si="57"/>
        <v>2565.3067000000001</v>
      </c>
      <c r="H133" s="44">
        <f t="shared" si="58"/>
        <v>9.7959278323592278E-3</v>
      </c>
      <c r="I133" s="43">
        <v>788.7</v>
      </c>
      <c r="J133" s="43"/>
      <c r="K133" s="43"/>
      <c r="L133" s="43">
        <f t="shared" si="59"/>
        <v>788.7</v>
      </c>
      <c r="M133" s="43">
        <v>155.9</v>
      </c>
      <c r="N133" s="43">
        <f t="shared" si="60"/>
        <v>-632.80000000000007</v>
      </c>
      <c r="O133" s="43">
        <f t="shared" si="61"/>
        <v>19.766704703943198</v>
      </c>
      <c r="P133" s="43">
        <v>2875.0999999999995</v>
      </c>
      <c r="Q133" s="44">
        <f t="shared" si="62"/>
        <v>1.1730491191705088E-2</v>
      </c>
      <c r="R133" s="43">
        <f t="shared" si="63"/>
        <v>727.51298130362204</v>
      </c>
      <c r="S133" s="43"/>
      <c r="T133" s="43"/>
      <c r="U133" s="43"/>
      <c r="V133" s="43"/>
      <c r="W133" s="43"/>
      <c r="X133" s="43">
        <f t="shared" si="51"/>
        <v>727.51298130362204</v>
      </c>
      <c r="Y133" s="43">
        <v>781</v>
      </c>
      <c r="Z133" s="43">
        <f t="shared" si="55"/>
        <v>781</v>
      </c>
      <c r="AA133" s="43"/>
      <c r="AB133" s="43"/>
      <c r="AC133" s="43"/>
      <c r="AD133" s="43">
        <f t="shared" si="52"/>
        <v>781</v>
      </c>
      <c r="AE133" s="43">
        <f>1808.3-800</f>
        <v>1008.3</v>
      </c>
      <c r="AF133" s="43"/>
      <c r="AG133" s="43"/>
      <c r="AH133" s="42">
        <f t="shared" si="53"/>
        <v>1008.3</v>
      </c>
      <c r="AI133" s="41">
        <v>1001.7</v>
      </c>
      <c r="AJ133" s="40">
        <v>802.7</v>
      </c>
      <c r="AK133" s="49">
        <f>1056.26666666667-200</f>
        <v>856.26666666667006</v>
      </c>
      <c r="AL133" s="39">
        <f t="shared" si="54"/>
        <v>856.26666666667006</v>
      </c>
    </row>
    <row r="134" spans="1:38" s="18" customFormat="1" ht="20.399999999999999" x14ac:dyDescent="0.25">
      <c r="A134" s="46">
        <v>28250</v>
      </c>
      <c r="B134" s="45" t="s">
        <v>168</v>
      </c>
      <c r="C134" s="43">
        <v>11518.8</v>
      </c>
      <c r="D134" s="43">
        <f t="shared" si="56"/>
        <v>959.9</v>
      </c>
      <c r="E134" s="43">
        <v>953.2</v>
      </c>
      <c r="F134" s="43">
        <v>937.6</v>
      </c>
      <c r="G134" s="43">
        <f t="shared" si="57"/>
        <v>2683.8804</v>
      </c>
      <c r="H134" s="44">
        <f t="shared" si="58"/>
        <v>1.0419745918893357E-2</v>
      </c>
      <c r="I134" s="43">
        <v>884.9</v>
      </c>
      <c r="J134" s="43"/>
      <c r="K134" s="43"/>
      <c r="L134" s="43">
        <f t="shared" si="59"/>
        <v>884.9</v>
      </c>
      <c r="M134" s="43">
        <v>699.7</v>
      </c>
      <c r="N134" s="43">
        <f t="shared" si="60"/>
        <v>-185.19999999999993</v>
      </c>
      <c r="O134" s="43">
        <f t="shared" si="61"/>
        <v>79.071081478133138</v>
      </c>
      <c r="P134" s="43">
        <v>2996.7</v>
      </c>
      <c r="Q134" s="44">
        <f t="shared" si="62"/>
        <v>1.2226622710230129E-2</v>
      </c>
      <c r="R134" s="43">
        <f t="shared" si="63"/>
        <v>758.28254706708105</v>
      </c>
      <c r="S134" s="43"/>
      <c r="T134" s="43"/>
      <c r="U134" s="43"/>
      <c r="V134" s="43"/>
      <c r="W134" s="43"/>
      <c r="X134" s="43">
        <f t="shared" si="51"/>
        <v>758.28254706708105</v>
      </c>
      <c r="Y134" s="43">
        <v>886</v>
      </c>
      <c r="Z134" s="43">
        <f t="shared" si="55"/>
        <v>886</v>
      </c>
      <c r="AA134" s="43"/>
      <c r="AB134" s="43"/>
      <c r="AC134" s="43"/>
      <c r="AD134" s="43">
        <f t="shared" si="52"/>
        <v>886</v>
      </c>
      <c r="AE134" s="43">
        <v>1141.5999999999999</v>
      </c>
      <c r="AF134" s="43"/>
      <c r="AG134" s="43"/>
      <c r="AH134" s="42">
        <f t="shared" si="53"/>
        <v>1141.5999999999999</v>
      </c>
      <c r="AI134" s="41">
        <v>960.9</v>
      </c>
      <c r="AJ134" s="40">
        <v>1018.4</v>
      </c>
      <c r="AK134" s="49">
        <v>956.26666666666665</v>
      </c>
      <c r="AL134" s="39">
        <f t="shared" si="54"/>
        <v>956.26666666666665</v>
      </c>
    </row>
    <row r="135" spans="1:38" s="18" customFormat="1" ht="13.5" customHeight="1" x14ac:dyDescent="0.25">
      <c r="A135" s="46">
        <v>28260</v>
      </c>
      <c r="B135" s="45" t="s">
        <v>167</v>
      </c>
      <c r="C135" s="43">
        <v>17027.900000000001</v>
      </c>
      <c r="D135" s="43">
        <f t="shared" si="56"/>
        <v>1418.9916666666668</v>
      </c>
      <c r="E135" s="43">
        <v>1179.3</v>
      </c>
      <c r="F135" s="43">
        <v>1249.2</v>
      </c>
      <c r="G135" s="43">
        <f t="shared" si="57"/>
        <v>3967.5007000000005</v>
      </c>
      <c r="H135" s="44">
        <f t="shared" si="58"/>
        <v>1.338288182993046E-2</v>
      </c>
      <c r="I135" s="43">
        <v>1401.1</v>
      </c>
      <c r="J135" s="43"/>
      <c r="K135" s="43"/>
      <c r="L135" s="43">
        <f t="shared" si="59"/>
        <v>1401.1</v>
      </c>
      <c r="M135" s="43">
        <v>1401.1</v>
      </c>
      <c r="N135" s="43">
        <f t="shared" si="60"/>
        <v>0</v>
      </c>
      <c r="O135" s="43">
        <f t="shared" si="61"/>
        <v>100</v>
      </c>
      <c r="P135" s="43">
        <v>4561.2999999999993</v>
      </c>
      <c r="Q135" s="44">
        <f t="shared" si="62"/>
        <v>1.8610235982304765E-2</v>
      </c>
      <c r="R135" s="43">
        <f t="shared" si="63"/>
        <v>1154.1876670794798</v>
      </c>
      <c r="S135" s="43"/>
      <c r="T135" s="43"/>
      <c r="U135" s="43"/>
      <c r="V135" s="43"/>
      <c r="W135" s="43"/>
      <c r="X135" s="43">
        <f t="shared" si="51"/>
        <v>1154.1876670794798</v>
      </c>
      <c r="Y135" s="43">
        <v>1100</v>
      </c>
      <c r="Z135" s="43">
        <f t="shared" si="55"/>
        <v>1100</v>
      </c>
      <c r="AA135" s="43"/>
      <c r="AB135" s="43"/>
      <c r="AC135" s="43"/>
      <c r="AD135" s="43">
        <f t="shared" si="52"/>
        <v>1100</v>
      </c>
      <c r="AE135" s="43">
        <v>1437.4999999999998</v>
      </c>
      <c r="AF135" s="43">
        <v>200</v>
      </c>
      <c r="AG135" s="43"/>
      <c r="AH135" s="42">
        <f t="shared" si="53"/>
        <v>1637.4999999999998</v>
      </c>
      <c r="AI135" s="41">
        <v>1380.7</v>
      </c>
      <c r="AJ135" s="40">
        <v>1766.8000000000002</v>
      </c>
      <c r="AK135" s="49">
        <f>1853.7-500</f>
        <v>1353.7</v>
      </c>
      <c r="AL135" s="39">
        <f t="shared" si="54"/>
        <v>1353.7</v>
      </c>
    </row>
    <row r="136" spans="1:38" s="18" customFormat="1" ht="13.2" x14ac:dyDescent="0.25">
      <c r="A136" s="46">
        <v>28270</v>
      </c>
      <c r="B136" s="45" t="s">
        <v>166</v>
      </c>
      <c r="C136" s="43">
        <v>6466</v>
      </c>
      <c r="D136" s="43">
        <f t="shared" si="56"/>
        <v>538.83333333333337</v>
      </c>
      <c r="E136" s="43">
        <v>508</v>
      </c>
      <c r="F136" s="43">
        <v>503.9</v>
      </c>
      <c r="G136" s="43">
        <f t="shared" si="57"/>
        <v>1506.5780000000002</v>
      </c>
      <c r="H136" s="44">
        <f t="shared" si="58"/>
        <v>5.5763385314830686E-3</v>
      </c>
      <c r="I136" s="43">
        <v>459.3</v>
      </c>
      <c r="J136" s="43"/>
      <c r="K136" s="43"/>
      <c r="L136" s="43">
        <f t="shared" si="59"/>
        <v>459.3</v>
      </c>
      <c r="M136" s="43">
        <v>459.3</v>
      </c>
      <c r="N136" s="43">
        <f t="shared" si="60"/>
        <v>0</v>
      </c>
      <c r="O136" s="43">
        <f t="shared" si="61"/>
        <v>100</v>
      </c>
      <c r="P136" s="43">
        <v>1704.8999999999999</v>
      </c>
      <c r="Q136" s="44">
        <f t="shared" si="62"/>
        <v>6.9560413316886406E-3</v>
      </c>
      <c r="R136" s="43">
        <f t="shared" si="63"/>
        <v>431.40651866875783</v>
      </c>
      <c r="S136" s="43"/>
      <c r="T136" s="43"/>
      <c r="U136" s="43"/>
      <c r="V136" s="43"/>
      <c r="W136" s="43"/>
      <c r="X136" s="43">
        <f t="shared" si="51"/>
        <v>431.40651866875783</v>
      </c>
      <c r="Y136" s="43">
        <v>487.267</v>
      </c>
      <c r="Z136" s="43">
        <f t="shared" si="55"/>
        <v>487.267</v>
      </c>
      <c r="AA136" s="43"/>
      <c r="AB136" s="43"/>
      <c r="AC136" s="43"/>
      <c r="AD136" s="43">
        <f t="shared" si="52"/>
        <v>487.267</v>
      </c>
      <c r="AE136" s="43">
        <v>614.6</v>
      </c>
      <c r="AF136" s="43"/>
      <c r="AG136" s="43"/>
      <c r="AH136" s="42">
        <f t="shared" si="53"/>
        <v>614.6</v>
      </c>
      <c r="AI136" s="41">
        <v>538.79999999999995</v>
      </c>
      <c r="AJ136" s="40">
        <v>534.29999999999995</v>
      </c>
      <c r="AK136" s="49">
        <v>525.4</v>
      </c>
      <c r="AL136" s="39">
        <f t="shared" si="54"/>
        <v>525.4</v>
      </c>
    </row>
    <row r="137" spans="1:38" s="18" customFormat="1" ht="20.399999999999999" x14ac:dyDescent="0.25">
      <c r="A137" s="46">
        <v>28320</v>
      </c>
      <c r="B137" s="45" t="s">
        <v>165</v>
      </c>
      <c r="C137" s="43">
        <v>2533.6999999999998</v>
      </c>
      <c r="D137" s="43">
        <f t="shared" si="56"/>
        <v>211.14166666666665</v>
      </c>
      <c r="E137" s="43">
        <v>196.8</v>
      </c>
      <c r="F137" s="43">
        <v>212.5</v>
      </c>
      <c r="G137" s="43">
        <f t="shared" si="57"/>
        <v>590.35209999999995</v>
      </c>
      <c r="H137" s="44">
        <f t="shared" si="58"/>
        <v>2.2555542651803736E-3</v>
      </c>
      <c r="I137" s="43">
        <v>151.80000000000001</v>
      </c>
      <c r="J137" s="43"/>
      <c r="K137" s="43"/>
      <c r="L137" s="43">
        <f t="shared" si="59"/>
        <v>151.80000000000001</v>
      </c>
      <c r="M137" s="43">
        <v>151.80000000000001</v>
      </c>
      <c r="N137" s="43">
        <f t="shared" si="60"/>
        <v>0</v>
      </c>
      <c r="O137" s="43">
        <f t="shared" si="61"/>
        <v>100</v>
      </c>
      <c r="P137" s="43">
        <v>646.80000000000007</v>
      </c>
      <c r="Q137" s="44">
        <f t="shared" si="62"/>
        <v>2.6389627153124598E-3</v>
      </c>
      <c r="R137" s="43">
        <f t="shared" si="63"/>
        <v>163.66574947208198</v>
      </c>
      <c r="S137" s="43"/>
      <c r="T137" s="43"/>
      <c r="U137" s="43"/>
      <c r="V137" s="43"/>
      <c r="W137" s="43"/>
      <c r="X137" s="43">
        <f t="shared" si="51"/>
        <v>163.66574947208198</v>
      </c>
      <c r="Y137" s="43">
        <v>160</v>
      </c>
      <c r="Z137" s="43">
        <f t="shared" si="55"/>
        <v>160</v>
      </c>
      <c r="AA137" s="43"/>
      <c r="AB137" s="43"/>
      <c r="AC137" s="43"/>
      <c r="AD137" s="43">
        <f t="shared" si="52"/>
        <v>160</v>
      </c>
      <c r="AE137" s="43">
        <v>253.1</v>
      </c>
      <c r="AF137" s="43">
        <f>323.1-AE137</f>
        <v>70.000000000000028</v>
      </c>
      <c r="AG137" s="43"/>
      <c r="AH137" s="42">
        <f t="shared" si="53"/>
        <v>323.10000000000002</v>
      </c>
      <c r="AI137" s="41">
        <v>201.6</v>
      </c>
      <c r="AJ137" s="40">
        <v>201.6</v>
      </c>
      <c r="AK137" s="49">
        <v>248.1</v>
      </c>
      <c r="AL137" s="39">
        <f t="shared" si="54"/>
        <v>248.1</v>
      </c>
    </row>
    <row r="138" spans="1:38" s="18" customFormat="1" ht="20.399999999999999" x14ac:dyDescent="0.25">
      <c r="A138" s="46">
        <v>28421</v>
      </c>
      <c r="B138" s="45" t="s">
        <v>164</v>
      </c>
      <c r="C138" s="43">
        <v>1137723.3999999999</v>
      </c>
      <c r="D138" s="43">
        <f t="shared" si="56"/>
        <v>94810.283333333326</v>
      </c>
      <c r="E138" s="43">
        <v>320000</v>
      </c>
      <c r="F138" s="43">
        <v>170000</v>
      </c>
      <c r="G138" s="43">
        <f t="shared" si="57"/>
        <v>265089.55219999998</v>
      </c>
      <c r="H138" s="44">
        <f>(E138+F138)/(8725103.2+9421212.6)*100-0.3461</f>
        <v>2.3541726360576183</v>
      </c>
      <c r="I138" s="43"/>
      <c r="J138" s="43"/>
      <c r="K138" s="43"/>
      <c r="L138" s="43">
        <f t="shared" si="59"/>
        <v>0</v>
      </c>
      <c r="M138" s="47"/>
      <c r="N138" s="43">
        <f t="shared" si="60"/>
        <v>0</v>
      </c>
      <c r="O138" s="43"/>
      <c r="P138" s="43">
        <v>293532.60000000003</v>
      </c>
      <c r="Q138" s="44">
        <f t="shared" si="62"/>
        <v>1.1976215014358784</v>
      </c>
      <c r="R138" s="43">
        <f>6201897*Q138/100+125724.7</f>
        <v>199999.95196890668</v>
      </c>
      <c r="S138" s="43">
        <f>15408.1+4591.9</f>
        <v>20000</v>
      </c>
      <c r="T138" s="43">
        <v>41369</v>
      </c>
      <c r="U138" s="43"/>
      <c r="V138" s="43"/>
      <c r="W138" s="43"/>
      <c r="X138" s="43">
        <f t="shared" si="51"/>
        <v>261368.95196890668</v>
      </c>
      <c r="Y138" s="43"/>
      <c r="Z138" s="43">
        <f t="shared" si="55"/>
        <v>0</v>
      </c>
      <c r="AA138" s="43"/>
      <c r="AB138" s="43"/>
      <c r="AC138" s="43"/>
      <c r="AD138" s="43">
        <f t="shared" si="52"/>
        <v>0</v>
      </c>
      <c r="AE138" s="43"/>
      <c r="AF138" s="43">
        <v>34797.800000000003</v>
      </c>
      <c r="AG138" s="43"/>
      <c r="AH138" s="42">
        <f t="shared" si="53"/>
        <v>34797.800000000003</v>
      </c>
      <c r="AI138" s="41">
        <v>200000</v>
      </c>
      <c r="AJ138" s="40">
        <v>200000</v>
      </c>
      <c r="AK138" s="49">
        <v>4790.2</v>
      </c>
      <c r="AL138" s="39">
        <f t="shared" si="54"/>
        <v>4790.2</v>
      </c>
    </row>
    <row r="139" spans="1:38" s="18" customFormat="1" ht="30.6" x14ac:dyDescent="0.25">
      <c r="A139" s="46">
        <v>28430</v>
      </c>
      <c r="B139" s="45" t="s">
        <v>163</v>
      </c>
      <c r="C139" s="43">
        <v>12267.1</v>
      </c>
      <c r="D139" s="43">
        <f t="shared" si="56"/>
        <v>1022.2583333333333</v>
      </c>
      <c r="E139" s="43">
        <v>629</v>
      </c>
      <c r="F139" s="43">
        <v>732.2</v>
      </c>
      <c r="G139" s="43">
        <f t="shared" si="57"/>
        <v>2858.2343000000001</v>
      </c>
      <c r="H139" s="44">
        <f t="shared" ref="H139:H160" si="64">(E139+F139)/(8725103.2+9421212.6)*100</f>
        <v>7.5012471677584286E-3</v>
      </c>
      <c r="I139" s="43">
        <v>1475.2</v>
      </c>
      <c r="J139" s="43"/>
      <c r="K139" s="43"/>
      <c r="L139" s="43">
        <f t="shared" si="59"/>
        <v>1475.2</v>
      </c>
      <c r="M139" s="43">
        <v>1419.9</v>
      </c>
      <c r="N139" s="43">
        <f t="shared" si="60"/>
        <v>-55.299999999999955</v>
      </c>
      <c r="O139" s="43">
        <f t="shared" ref="O139:O160" si="65">M139/L139*100</f>
        <v>96.251355748373101</v>
      </c>
      <c r="P139" s="43">
        <v>3315.4999999999995</v>
      </c>
      <c r="Q139" s="44">
        <f t="shared" si="62"/>
        <v>1.352733593478426E-2</v>
      </c>
      <c r="R139" s="43">
        <f>6201897*Q139/100</f>
        <v>838.95144151930697</v>
      </c>
      <c r="S139" s="43"/>
      <c r="T139" s="43"/>
      <c r="U139" s="43"/>
      <c r="V139" s="43"/>
      <c r="W139" s="43"/>
      <c r="X139" s="43">
        <f t="shared" si="51"/>
        <v>838.95144151930697</v>
      </c>
      <c r="Y139" s="43">
        <v>954</v>
      </c>
      <c r="Z139" s="43">
        <f t="shared" si="55"/>
        <v>954</v>
      </c>
      <c r="AA139" s="43"/>
      <c r="AB139" s="43"/>
      <c r="AC139" s="43"/>
      <c r="AD139" s="43">
        <f t="shared" si="52"/>
        <v>954</v>
      </c>
      <c r="AE139" s="43">
        <f>1459.7-400</f>
        <v>1059.7</v>
      </c>
      <c r="AF139" s="43">
        <v>150</v>
      </c>
      <c r="AG139" s="43"/>
      <c r="AH139" s="42">
        <f t="shared" si="53"/>
        <v>1209.7</v>
      </c>
      <c r="AI139" s="41">
        <v>1020.4</v>
      </c>
      <c r="AJ139" s="40">
        <v>1097.7</v>
      </c>
      <c r="AK139" s="49">
        <f>1888.9-800</f>
        <v>1088.9000000000001</v>
      </c>
      <c r="AL139" s="39">
        <f t="shared" si="54"/>
        <v>1088.9000000000001</v>
      </c>
    </row>
    <row r="140" spans="1:38" s="18" customFormat="1" ht="13.2" x14ac:dyDescent="0.25">
      <c r="A140" s="46">
        <v>28110</v>
      </c>
      <c r="B140" s="45" t="s">
        <v>162</v>
      </c>
      <c r="C140" s="43">
        <v>188679.3</v>
      </c>
      <c r="D140" s="43">
        <f t="shared" si="56"/>
        <v>15723.275</v>
      </c>
      <c r="E140" s="43">
        <v>12818.8</v>
      </c>
      <c r="F140" s="43">
        <v>12510.8</v>
      </c>
      <c r="G140" s="43">
        <f t="shared" si="57"/>
        <v>43962.276899999997</v>
      </c>
      <c r="H140" s="44">
        <f t="shared" si="64"/>
        <v>0.13958535869854091</v>
      </c>
      <c r="I140" s="43">
        <v>15317.4</v>
      </c>
      <c r="J140" s="43"/>
      <c r="K140" s="43"/>
      <c r="L140" s="43">
        <f t="shared" si="59"/>
        <v>15317.4</v>
      </c>
      <c r="M140" s="43">
        <v>15317.4</v>
      </c>
      <c r="N140" s="43">
        <f t="shared" si="60"/>
        <v>0</v>
      </c>
      <c r="O140" s="43">
        <f t="shared" si="65"/>
        <v>100</v>
      </c>
      <c r="P140" s="43">
        <v>51262.5</v>
      </c>
      <c r="Q140" s="44">
        <f t="shared" si="62"/>
        <v>0.2091524832926793</v>
      </c>
      <c r="R140" s="43">
        <f>6201897*Q140/100</f>
        <v>12971.421586754177</v>
      </c>
      <c r="S140" s="43"/>
      <c r="T140" s="43"/>
      <c r="U140" s="43"/>
      <c r="V140" s="43"/>
      <c r="W140" s="43"/>
      <c r="X140" s="43">
        <f t="shared" si="51"/>
        <v>12971.421586754177</v>
      </c>
      <c r="Y140" s="43">
        <v>11127</v>
      </c>
      <c r="Z140" s="43">
        <f t="shared" si="55"/>
        <v>11127</v>
      </c>
      <c r="AA140" s="43"/>
      <c r="AB140" s="43"/>
      <c r="AC140" s="43"/>
      <c r="AD140" s="43">
        <f t="shared" si="52"/>
        <v>11127</v>
      </c>
      <c r="AE140" s="42">
        <f>15562.7</f>
        <v>15562.7</v>
      </c>
      <c r="AF140" s="42">
        <v>-900</v>
      </c>
      <c r="AG140" s="42"/>
      <c r="AH140" s="42">
        <f t="shared" si="53"/>
        <v>14662.7</v>
      </c>
      <c r="AI140" s="41">
        <v>14819.3</v>
      </c>
      <c r="AJ140" s="40">
        <v>15750</v>
      </c>
      <c r="AK140" s="49">
        <f>15390.3846153846-2000</f>
        <v>13390.384615384601</v>
      </c>
      <c r="AL140" s="39">
        <f t="shared" si="54"/>
        <v>13390.384615384601</v>
      </c>
    </row>
    <row r="141" spans="1:38" s="18" customFormat="1" ht="13.2" x14ac:dyDescent="0.25">
      <c r="A141" s="46">
        <v>28120</v>
      </c>
      <c r="B141" s="45" t="s">
        <v>161</v>
      </c>
      <c r="C141" s="43">
        <f>75285.4+2150</f>
        <v>77435.399999999994</v>
      </c>
      <c r="D141" s="43">
        <f t="shared" si="56"/>
        <v>6452.95</v>
      </c>
      <c r="E141" s="43">
        <v>2279.6</v>
      </c>
      <c r="F141" s="43">
        <v>2196.4</v>
      </c>
      <c r="G141" s="43">
        <f t="shared" si="57"/>
        <v>18042.448199999999</v>
      </c>
      <c r="H141" s="44">
        <f t="shared" si="64"/>
        <v>2.4666163916314078E-2</v>
      </c>
      <c r="I141" s="43">
        <v>6488.5</v>
      </c>
      <c r="J141" s="43"/>
      <c r="K141" s="43">
        <v>-921.8</v>
      </c>
      <c r="L141" s="43">
        <f t="shared" si="59"/>
        <v>5566.7</v>
      </c>
      <c r="M141" s="43">
        <v>2225</v>
      </c>
      <c r="N141" s="43">
        <f t="shared" si="60"/>
        <v>-3341.7</v>
      </c>
      <c r="O141" s="43">
        <f t="shared" si="65"/>
        <v>39.969820539996768</v>
      </c>
      <c r="P141" s="43">
        <v>22257.5</v>
      </c>
      <c r="Q141" s="44">
        <f t="shared" si="62"/>
        <v>9.0811244026077723E-2</v>
      </c>
      <c r="R141" s="43">
        <f>6201897*Q141/100-3400</f>
        <v>2232.0198189159937</v>
      </c>
      <c r="S141" s="43"/>
      <c r="T141" s="43"/>
      <c r="U141" s="43"/>
      <c r="V141" s="43"/>
      <c r="W141" s="43"/>
      <c r="X141" s="43">
        <f t="shared" si="51"/>
        <v>2232.0198189159937</v>
      </c>
      <c r="Y141" s="43">
        <v>2043</v>
      </c>
      <c r="Z141" s="43">
        <f t="shared" si="55"/>
        <v>2043</v>
      </c>
      <c r="AA141" s="43"/>
      <c r="AB141" s="43"/>
      <c r="AC141" s="43"/>
      <c r="AD141" s="43">
        <f t="shared" si="52"/>
        <v>2043</v>
      </c>
      <c r="AE141" s="43">
        <v>2379.1999999999994</v>
      </c>
      <c r="AF141" s="43"/>
      <c r="AG141" s="43"/>
      <c r="AH141" s="42">
        <f t="shared" si="53"/>
        <v>2379.1999999999994</v>
      </c>
      <c r="AI141" s="41">
        <v>2379.1999999999998</v>
      </c>
      <c r="AJ141" s="40">
        <v>2318.2000000000003</v>
      </c>
      <c r="AK141" s="49">
        <f>3374.31-1000</f>
        <v>2374.31</v>
      </c>
      <c r="AL141" s="39">
        <f t="shared" si="54"/>
        <v>2374.31</v>
      </c>
    </row>
    <row r="142" spans="1:38" s="18" customFormat="1" ht="20.399999999999999" x14ac:dyDescent="0.25">
      <c r="A142" s="46">
        <v>28130</v>
      </c>
      <c r="B142" s="45" t="s">
        <v>160</v>
      </c>
      <c r="C142" s="43">
        <v>18234.7</v>
      </c>
      <c r="D142" s="43">
        <f t="shared" si="56"/>
        <v>1519.5583333333334</v>
      </c>
      <c r="E142" s="43">
        <v>1491.7</v>
      </c>
      <c r="F142" s="43">
        <v>1907.2</v>
      </c>
      <c r="G142" s="43">
        <f t="shared" si="57"/>
        <v>4248.6850999999997</v>
      </c>
      <c r="H142" s="44">
        <f t="shared" si="64"/>
        <v>1.8730523801420894E-2</v>
      </c>
      <c r="I142" s="43">
        <v>639.20000000000005</v>
      </c>
      <c r="J142" s="43"/>
      <c r="K142" s="43">
        <v>921.8</v>
      </c>
      <c r="L142" s="43">
        <f t="shared" si="59"/>
        <v>1561</v>
      </c>
      <c r="M142" s="43">
        <v>1561</v>
      </c>
      <c r="N142" s="43">
        <f t="shared" si="60"/>
        <v>0</v>
      </c>
      <c r="O142" s="43">
        <f t="shared" si="65"/>
        <v>100</v>
      </c>
      <c r="P142" s="43">
        <v>4461.5</v>
      </c>
      <c r="Q142" s="44">
        <f t="shared" si="62"/>
        <v>1.8203049094567932E-2</v>
      </c>
      <c r="R142" s="43">
        <f>6201897*Q142/100+400</f>
        <v>1528.9343557045356</v>
      </c>
      <c r="S142" s="43"/>
      <c r="T142" s="43"/>
      <c r="U142" s="43"/>
      <c r="V142" s="43"/>
      <c r="W142" s="43"/>
      <c r="X142" s="43">
        <f t="shared" si="51"/>
        <v>1528.9343557045356</v>
      </c>
      <c r="Y142" s="43">
        <v>843</v>
      </c>
      <c r="Z142" s="43">
        <f t="shared" si="55"/>
        <v>843</v>
      </c>
      <c r="AA142" s="43">
        <v>644.20000000000005</v>
      </c>
      <c r="AB142" s="43"/>
      <c r="AC142" s="43"/>
      <c r="AD142" s="43">
        <f t="shared" si="52"/>
        <v>1487.2</v>
      </c>
      <c r="AE142" s="43">
        <v>1214.3999999999999</v>
      </c>
      <c r="AF142" s="43">
        <v>700</v>
      </c>
      <c r="AG142" s="43"/>
      <c r="AH142" s="42">
        <f t="shared" si="53"/>
        <v>1914.3999999999999</v>
      </c>
      <c r="AI142" s="41">
        <v>1560.1</v>
      </c>
      <c r="AJ142" s="40">
        <v>1716.8</v>
      </c>
      <c r="AK142" s="49">
        <v>1673</v>
      </c>
      <c r="AL142" s="39">
        <f t="shared" si="54"/>
        <v>1673</v>
      </c>
    </row>
    <row r="143" spans="1:38" s="18" customFormat="1" ht="13.2" x14ac:dyDescent="0.25">
      <c r="A143" s="46">
        <v>28220</v>
      </c>
      <c r="B143" s="45" t="s">
        <v>159</v>
      </c>
      <c r="C143" s="43">
        <v>14707.4</v>
      </c>
      <c r="D143" s="43">
        <f t="shared" si="56"/>
        <v>1225.6166666666666</v>
      </c>
      <c r="E143" s="43">
        <v>1217.3</v>
      </c>
      <c r="F143" s="43">
        <v>1197.9000000000001</v>
      </c>
      <c r="G143" s="43">
        <f t="shared" si="57"/>
        <v>3426.8242</v>
      </c>
      <c r="H143" s="44">
        <f t="shared" si="64"/>
        <v>1.3309588715523183E-2</v>
      </c>
      <c r="I143" s="43">
        <v>1055.5</v>
      </c>
      <c r="J143" s="43"/>
      <c r="K143" s="43"/>
      <c r="L143" s="43">
        <f t="shared" si="59"/>
        <v>1055.5</v>
      </c>
      <c r="M143" s="43">
        <v>1055.5</v>
      </c>
      <c r="N143" s="43">
        <f t="shared" si="60"/>
        <v>0</v>
      </c>
      <c r="O143" s="43">
        <f t="shared" si="65"/>
        <v>100</v>
      </c>
      <c r="P143" s="43">
        <v>3801.8</v>
      </c>
      <c r="Q143" s="44">
        <f t="shared" si="62"/>
        <v>1.5511454005990893E-2</v>
      </c>
      <c r="R143" s="43">
        <f>6201897*Q143/100</f>
        <v>962.004400653929</v>
      </c>
      <c r="S143" s="43"/>
      <c r="T143" s="43"/>
      <c r="U143" s="43"/>
      <c r="V143" s="43"/>
      <c r="W143" s="43"/>
      <c r="X143" s="43">
        <f t="shared" si="51"/>
        <v>962.004400653929</v>
      </c>
      <c r="Y143" s="43">
        <v>1176</v>
      </c>
      <c r="Z143" s="43">
        <f t="shared" si="55"/>
        <v>1176</v>
      </c>
      <c r="AA143" s="43"/>
      <c r="AB143" s="43"/>
      <c r="AC143" s="43"/>
      <c r="AD143" s="43">
        <f t="shared" si="52"/>
        <v>1176</v>
      </c>
      <c r="AE143" s="43">
        <f>1591.9-300</f>
        <v>1291.9000000000001</v>
      </c>
      <c r="AF143" s="43"/>
      <c r="AG143" s="43"/>
      <c r="AH143" s="42">
        <f t="shared" si="53"/>
        <v>1291.9000000000001</v>
      </c>
      <c r="AI143" s="41">
        <v>1250.5999999999999</v>
      </c>
      <c r="AJ143" s="40">
        <v>1047.5</v>
      </c>
      <c r="AK143" s="49">
        <v>1199.5</v>
      </c>
      <c r="AL143" s="39">
        <f t="shared" si="54"/>
        <v>1199.5</v>
      </c>
    </row>
    <row r="144" spans="1:38" s="18" customFormat="1" ht="13.2" x14ac:dyDescent="0.25">
      <c r="A144" s="48">
        <v>28910</v>
      </c>
      <c r="B144" s="45" t="s">
        <v>158</v>
      </c>
      <c r="C144" s="43">
        <v>22971.3</v>
      </c>
      <c r="D144" s="43">
        <f t="shared" si="56"/>
        <v>1914.2749999999999</v>
      </c>
      <c r="E144" s="43"/>
      <c r="F144" s="43"/>
      <c r="G144" s="43">
        <f t="shared" si="57"/>
        <v>5352.3129000000008</v>
      </c>
      <c r="H144" s="44">
        <f t="shared" si="64"/>
        <v>0</v>
      </c>
      <c r="I144" s="43">
        <v>1300</v>
      </c>
      <c r="J144" s="43"/>
      <c r="K144" s="43"/>
      <c r="L144" s="43">
        <f t="shared" si="59"/>
        <v>1300</v>
      </c>
      <c r="M144" s="43">
        <v>1300</v>
      </c>
      <c r="N144" s="43">
        <f t="shared" si="60"/>
        <v>0</v>
      </c>
      <c r="O144" s="43">
        <f t="shared" si="65"/>
        <v>100</v>
      </c>
      <c r="P144" s="43">
        <v>2500</v>
      </c>
      <c r="Q144" s="44">
        <f t="shared" si="62"/>
        <v>1.0200072338097015E-2</v>
      </c>
      <c r="R144" s="43">
        <f>6201897*Q144/100-632.6</f>
        <v>-2.0196657313817923E-3</v>
      </c>
      <c r="S144" s="43"/>
      <c r="T144" s="43"/>
      <c r="U144" s="43">
        <v>1240</v>
      </c>
      <c r="V144" s="43"/>
      <c r="W144" s="43"/>
      <c r="X144" s="43">
        <f t="shared" si="51"/>
        <v>1239.9979803342685</v>
      </c>
      <c r="Y144" s="43"/>
      <c r="Z144" s="43">
        <f t="shared" si="55"/>
        <v>0</v>
      </c>
      <c r="AA144" s="43"/>
      <c r="AB144" s="43"/>
      <c r="AC144" s="43">
        <v>780</v>
      </c>
      <c r="AD144" s="43">
        <f t="shared" si="52"/>
        <v>780</v>
      </c>
      <c r="AE144" s="43"/>
      <c r="AF144" s="43"/>
      <c r="AG144" s="43"/>
      <c r="AH144" s="42">
        <f t="shared" si="53"/>
        <v>0</v>
      </c>
      <c r="AI144" s="41">
        <f>2880</f>
        <v>2880</v>
      </c>
      <c r="AJ144" s="40">
        <v>0</v>
      </c>
      <c r="AK144" s="49">
        <v>400</v>
      </c>
      <c r="AL144" s="39">
        <f t="shared" si="54"/>
        <v>400</v>
      </c>
    </row>
    <row r="145" spans="1:39" s="18" customFormat="1" ht="13.2" x14ac:dyDescent="0.25">
      <c r="A145" s="46">
        <v>29110</v>
      </c>
      <c r="B145" s="45" t="s">
        <v>157</v>
      </c>
      <c r="C145" s="43">
        <v>50496.5</v>
      </c>
      <c r="D145" s="43">
        <f t="shared" si="56"/>
        <v>4208.041666666667</v>
      </c>
      <c r="E145" s="43">
        <v>2120.1</v>
      </c>
      <c r="F145" s="43">
        <v>3976.1</v>
      </c>
      <c r="G145" s="43">
        <f t="shared" si="57"/>
        <v>11765.684499999999</v>
      </c>
      <c r="H145" s="44">
        <f t="shared" si="64"/>
        <v>3.3594698048845822E-2</v>
      </c>
      <c r="I145" s="43">
        <v>5809.3</v>
      </c>
      <c r="J145" s="43"/>
      <c r="K145" s="43"/>
      <c r="L145" s="43">
        <f t="shared" si="59"/>
        <v>5809.3</v>
      </c>
      <c r="M145" s="43">
        <v>4338.6000000000004</v>
      </c>
      <c r="N145" s="43">
        <f t="shared" si="60"/>
        <v>-1470.6999999999998</v>
      </c>
      <c r="O145" s="43">
        <f t="shared" si="65"/>
        <v>74.683696830943489</v>
      </c>
      <c r="P145" s="43">
        <v>12919.400000000001</v>
      </c>
      <c r="Q145" s="44">
        <f t="shared" si="62"/>
        <v>5.2711525825924241E-2</v>
      </c>
      <c r="R145" s="43">
        <f>6201897*Q145/100</f>
        <v>3269.1145388522209</v>
      </c>
      <c r="S145" s="43"/>
      <c r="T145" s="43"/>
      <c r="U145" s="43"/>
      <c r="V145" s="43"/>
      <c r="W145" s="43"/>
      <c r="X145" s="43">
        <f t="shared" si="51"/>
        <v>3269.1145388522209</v>
      </c>
      <c r="Y145" s="43">
        <v>4306.5</v>
      </c>
      <c r="Z145" s="43">
        <f t="shared" si="55"/>
        <v>4306.5</v>
      </c>
      <c r="AA145" s="43"/>
      <c r="AB145" s="43"/>
      <c r="AC145" s="43"/>
      <c r="AD145" s="43">
        <f t="shared" si="52"/>
        <v>4306.5</v>
      </c>
      <c r="AE145" s="43">
        <f>7050.7-2500</f>
        <v>4550.7</v>
      </c>
      <c r="AF145" s="43"/>
      <c r="AG145" s="43"/>
      <c r="AH145" s="42">
        <f t="shared" si="53"/>
        <v>4550.7</v>
      </c>
      <c r="AI145" s="41">
        <v>4550.7</v>
      </c>
      <c r="AJ145" s="40">
        <v>4472.3</v>
      </c>
      <c r="AK145" s="49">
        <f>5011.9-1000</f>
        <v>4011.8999999999996</v>
      </c>
      <c r="AL145" s="39">
        <f t="shared" si="54"/>
        <v>4011.8999999999996</v>
      </c>
    </row>
    <row r="146" spans="1:39" s="18" customFormat="1" ht="13.2" x14ac:dyDescent="0.25">
      <c r="A146" s="46">
        <v>29120</v>
      </c>
      <c r="B146" s="45" t="s">
        <v>156</v>
      </c>
      <c r="C146" s="43">
        <f>568246.2+1140.7</f>
        <v>569386.89999999991</v>
      </c>
      <c r="D146" s="43">
        <f t="shared" si="56"/>
        <v>47448.908333333326</v>
      </c>
      <c r="E146" s="43">
        <v>34728.1</v>
      </c>
      <c r="F146" s="43">
        <v>33847.300000000003</v>
      </c>
      <c r="G146" s="43">
        <f t="shared" si="57"/>
        <v>132667.14769999997</v>
      </c>
      <c r="H146" s="44">
        <f t="shared" si="64"/>
        <v>0.3779026043402155</v>
      </c>
      <c r="I146" s="43">
        <v>48158</v>
      </c>
      <c r="J146" s="43"/>
      <c r="K146" s="43"/>
      <c r="L146" s="43">
        <f t="shared" si="59"/>
        <v>48158</v>
      </c>
      <c r="M146" s="43">
        <v>31027</v>
      </c>
      <c r="N146" s="43">
        <f t="shared" si="60"/>
        <v>-17131</v>
      </c>
      <c r="O146" s="43">
        <f t="shared" si="65"/>
        <v>64.427509448066772</v>
      </c>
      <c r="P146" s="43">
        <v>160642.00000000003</v>
      </c>
      <c r="Q146" s="44">
        <f t="shared" si="62"/>
        <v>0.65542400821463243</v>
      </c>
      <c r="R146" s="43">
        <f>6201897*Q146/100-5000</f>
        <v>35648.72190274304</v>
      </c>
      <c r="S146" s="43">
        <v>4056.4</v>
      </c>
      <c r="T146" s="43"/>
      <c r="U146" s="43"/>
      <c r="V146" s="43"/>
      <c r="W146" s="43"/>
      <c r="X146" s="43">
        <f t="shared" si="51"/>
        <v>39705.121902743042</v>
      </c>
      <c r="Y146" s="43">
        <v>34943.1</v>
      </c>
      <c r="Z146" s="43">
        <f t="shared" si="55"/>
        <v>34943.1</v>
      </c>
      <c r="AA146" s="43"/>
      <c r="AB146" s="43"/>
      <c r="AC146" s="43">
        <v>8621.9</v>
      </c>
      <c r="AD146" s="43">
        <f t="shared" si="52"/>
        <v>43565</v>
      </c>
      <c r="AE146" s="43">
        <f>64647.3-20000</f>
        <v>44647.3</v>
      </c>
      <c r="AF146" s="43"/>
      <c r="AG146" s="43"/>
      <c r="AH146" s="42">
        <f t="shared" si="53"/>
        <v>44647.3</v>
      </c>
      <c r="AI146" s="41">
        <v>44600</v>
      </c>
      <c r="AJ146" s="40">
        <v>49738.8</v>
      </c>
      <c r="AK146" s="49">
        <f>56150.6-10000</f>
        <v>46150.6</v>
      </c>
      <c r="AL146" s="39">
        <f t="shared" si="54"/>
        <v>46150.6</v>
      </c>
    </row>
    <row r="147" spans="1:39" s="18" customFormat="1" ht="20.399999999999999" x14ac:dyDescent="0.25">
      <c r="A147" s="46">
        <v>30110</v>
      </c>
      <c r="B147" s="45" t="s">
        <v>155</v>
      </c>
      <c r="C147" s="43">
        <v>25917.5</v>
      </c>
      <c r="D147" s="43">
        <f t="shared" si="56"/>
        <v>2159.7916666666665</v>
      </c>
      <c r="E147" s="43">
        <v>2073.6</v>
      </c>
      <c r="F147" s="43">
        <v>2202.9</v>
      </c>
      <c r="G147" s="43">
        <f t="shared" si="57"/>
        <v>6038.7775000000001</v>
      </c>
      <c r="H147" s="44">
        <f t="shared" si="64"/>
        <v>2.3566767200204907E-2</v>
      </c>
      <c r="I147" s="43">
        <v>1880.6</v>
      </c>
      <c r="J147" s="43"/>
      <c r="K147" s="43"/>
      <c r="L147" s="43">
        <f t="shared" si="59"/>
        <v>1880.6</v>
      </c>
      <c r="M147" s="43">
        <v>1880.6</v>
      </c>
      <c r="N147" s="43">
        <f t="shared" si="60"/>
        <v>0</v>
      </c>
      <c r="O147" s="43">
        <f t="shared" si="65"/>
        <v>100</v>
      </c>
      <c r="P147" s="43">
        <v>6724.4</v>
      </c>
      <c r="Q147" s="44">
        <f t="shared" si="62"/>
        <v>2.7435746572119828E-2</v>
      </c>
      <c r="R147" s="43">
        <f>6201897*Q147/100+300</f>
        <v>2001.5367435839025</v>
      </c>
      <c r="S147" s="43"/>
      <c r="T147" s="43"/>
      <c r="U147" s="43"/>
      <c r="V147" s="43"/>
      <c r="W147" s="43"/>
      <c r="X147" s="43">
        <f t="shared" si="51"/>
        <v>2001.5367435839025</v>
      </c>
      <c r="Y147" s="43">
        <v>2241.4</v>
      </c>
      <c r="Z147" s="43">
        <f t="shared" si="55"/>
        <v>2241.4</v>
      </c>
      <c r="AA147" s="43"/>
      <c r="AB147" s="43"/>
      <c r="AC147" s="43"/>
      <c r="AD147" s="43">
        <f t="shared" si="52"/>
        <v>2241.4</v>
      </c>
      <c r="AE147" s="43">
        <v>2481.5</v>
      </c>
      <c r="AF147" s="43"/>
      <c r="AG147" s="43"/>
      <c r="AH147" s="42">
        <f t="shared" si="53"/>
        <v>2481.5</v>
      </c>
      <c r="AI147" s="41">
        <v>2098.6999999999998</v>
      </c>
      <c r="AJ147" s="40">
        <v>2098.6999999999998</v>
      </c>
      <c r="AK147" s="49">
        <v>2098.6999999999998</v>
      </c>
      <c r="AL147" s="39">
        <f t="shared" si="54"/>
        <v>2098.6999999999998</v>
      </c>
    </row>
    <row r="148" spans="1:39" s="18" customFormat="1" ht="20.399999999999999" x14ac:dyDescent="0.25">
      <c r="A148" s="46">
        <v>30120</v>
      </c>
      <c r="B148" s="45" t="s">
        <v>154</v>
      </c>
      <c r="C148" s="43">
        <f>1598012+105476.3+63853.5</f>
        <v>1767341.8</v>
      </c>
      <c r="D148" s="43">
        <f t="shared" si="56"/>
        <v>147278.48333333334</v>
      </c>
      <c r="E148" s="43">
        <v>125355.6</v>
      </c>
      <c r="F148" s="43">
        <v>136825.79999999999</v>
      </c>
      <c r="G148" s="43">
        <f t="shared" si="57"/>
        <v>411790.63940000004</v>
      </c>
      <c r="H148" s="44">
        <f t="shared" si="64"/>
        <v>1.4448188981699528</v>
      </c>
      <c r="I148" s="43">
        <v>323461.40000000002</v>
      </c>
      <c r="J148" s="43"/>
      <c r="K148" s="43"/>
      <c r="L148" s="43">
        <f t="shared" si="59"/>
        <v>323461.40000000002</v>
      </c>
      <c r="M148" s="43">
        <v>323461.40000000002</v>
      </c>
      <c r="N148" s="43">
        <f t="shared" si="60"/>
        <v>0</v>
      </c>
      <c r="O148" s="43">
        <f t="shared" si="65"/>
        <v>100</v>
      </c>
      <c r="P148" s="43">
        <v>399727.89999999991</v>
      </c>
      <c r="Q148" s="44">
        <f t="shared" si="62"/>
        <v>1.6309013982222436</v>
      </c>
      <c r="R148" s="43">
        <f>6201897*Q148/100</f>
        <v>101146.82488930337</v>
      </c>
      <c r="S148" s="43">
        <v>100000</v>
      </c>
      <c r="T148" s="43"/>
      <c r="U148" s="43"/>
      <c r="V148" s="43"/>
      <c r="W148" s="43"/>
      <c r="X148" s="43">
        <f t="shared" si="51"/>
        <v>201146.82488930336</v>
      </c>
      <c r="Y148" s="43">
        <v>129426.9</v>
      </c>
      <c r="Z148" s="43">
        <f t="shared" si="55"/>
        <v>129426.9</v>
      </c>
      <c r="AA148" s="43"/>
      <c r="AB148" s="43"/>
      <c r="AC148" s="43"/>
      <c r="AD148" s="43">
        <f t="shared" si="52"/>
        <v>129426.9</v>
      </c>
      <c r="AE148" s="43">
        <f>152480.7-12000</f>
        <v>140480.70000000001</v>
      </c>
      <c r="AF148" s="43">
        <f>20000</f>
        <v>20000</v>
      </c>
      <c r="AG148" s="43"/>
      <c r="AH148" s="42">
        <f t="shared" si="53"/>
        <v>160480.70000000001</v>
      </c>
      <c r="AI148" s="41">
        <f>130957.4+10000+28000</f>
        <v>168957.4</v>
      </c>
      <c r="AJ148" s="40">
        <v>332506.2</v>
      </c>
      <c r="AK148" s="49">
        <f>159034.696-30000</f>
        <v>129034.696</v>
      </c>
      <c r="AL148" s="39">
        <f t="shared" si="54"/>
        <v>129034.696</v>
      </c>
    </row>
    <row r="149" spans="1:39" s="18" customFormat="1" ht="13.2" x14ac:dyDescent="0.25">
      <c r="A149" s="46">
        <v>31110</v>
      </c>
      <c r="B149" s="45" t="s">
        <v>153</v>
      </c>
      <c r="C149" s="43">
        <v>23165.9</v>
      </c>
      <c r="D149" s="43">
        <f t="shared" si="56"/>
        <v>1930.4916666666668</v>
      </c>
      <c r="E149" s="43">
        <v>1880.8</v>
      </c>
      <c r="F149" s="43">
        <v>2222.6999999999998</v>
      </c>
      <c r="G149" s="43">
        <f t="shared" si="57"/>
        <v>5397.654700000001</v>
      </c>
      <c r="H149" s="44">
        <f t="shared" si="64"/>
        <v>2.2613405636862115E-2</v>
      </c>
      <c r="I149" s="43">
        <v>1628.8</v>
      </c>
      <c r="J149" s="43"/>
      <c r="K149" s="43"/>
      <c r="L149" s="43">
        <f t="shared" si="59"/>
        <v>1628.8</v>
      </c>
      <c r="M149" s="43">
        <v>1628.8</v>
      </c>
      <c r="N149" s="43">
        <f t="shared" si="60"/>
        <v>0</v>
      </c>
      <c r="O149" s="43">
        <f t="shared" si="65"/>
        <v>100</v>
      </c>
      <c r="P149" s="43">
        <v>6057.3</v>
      </c>
      <c r="Q149" s="44">
        <f t="shared" si="62"/>
        <v>2.471395926942202E-2</v>
      </c>
      <c r="R149" s="43">
        <f>6201897*Q149/100</f>
        <v>1532.734298511506</v>
      </c>
      <c r="S149" s="43">
        <v>486</v>
      </c>
      <c r="T149" s="43"/>
      <c r="U149" s="43"/>
      <c r="V149" s="43"/>
      <c r="W149" s="43"/>
      <c r="X149" s="43">
        <f t="shared" si="51"/>
        <v>2018.734298511506</v>
      </c>
      <c r="Y149" s="43">
        <v>1786</v>
      </c>
      <c r="Z149" s="43">
        <f t="shared" si="55"/>
        <v>1786</v>
      </c>
      <c r="AA149" s="43"/>
      <c r="AB149" s="43"/>
      <c r="AC149" s="43"/>
      <c r="AD149" s="43">
        <f t="shared" si="52"/>
        <v>1786</v>
      </c>
      <c r="AE149" s="43">
        <v>2008.6</v>
      </c>
      <c r="AF149" s="43"/>
      <c r="AG149" s="43"/>
      <c r="AH149" s="42">
        <f t="shared" si="53"/>
        <v>2008.6</v>
      </c>
      <c r="AI149" s="41">
        <v>1871.9</v>
      </c>
      <c r="AJ149" s="40">
        <v>1761.1</v>
      </c>
      <c r="AK149" s="49">
        <v>2024.2</v>
      </c>
      <c r="AL149" s="39">
        <f t="shared" si="54"/>
        <v>2024.2</v>
      </c>
    </row>
    <row r="150" spans="1:39" s="18" customFormat="1" ht="20.399999999999999" x14ac:dyDescent="0.25">
      <c r="A150" s="46">
        <v>32120</v>
      </c>
      <c r="B150" s="45" t="s">
        <v>152</v>
      </c>
      <c r="C150" s="43">
        <f>970184.3+3662.5+114496.7</f>
        <v>1088343.5</v>
      </c>
      <c r="D150" s="43">
        <f t="shared" si="56"/>
        <v>90695.291666666672</v>
      </c>
      <c r="E150" s="43">
        <v>99771</v>
      </c>
      <c r="F150" s="43">
        <v>110329.1</v>
      </c>
      <c r="G150" s="43">
        <f t="shared" si="57"/>
        <v>253584.0355</v>
      </c>
      <c r="H150" s="44">
        <f t="shared" si="64"/>
        <v>1.1578113282917739</v>
      </c>
      <c r="I150" s="43">
        <v>108181</v>
      </c>
      <c r="J150" s="43"/>
      <c r="K150" s="43"/>
      <c r="L150" s="43">
        <f t="shared" si="59"/>
        <v>108181</v>
      </c>
      <c r="M150" s="43">
        <v>96763.3</v>
      </c>
      <c r="N150" s="43">
        <f t="shared" si="60"/>
        <v>-11417.699999999997</v>
      </c>
      <c r="O150" s="43">
        <f t="shared" si="65"/>
        <v>89.445743707305354</v>
      </c>
      <c r="P150" s="43">
        <v>277561</v>
      </c>
      <c r="Q150" s="44">
        <f t="shared" si="62"/>
        <v>1.1324569112938183</v>
      </c>
      <c r="R150" s="43">
        <f>6201897*Q150/100+25000</f>
        <v>95233.811207823979</v>
      </c>
      <c r="S150" s="43"/>
      <c r="T150" s="43"/>
      <c r="U150" s="43"/>
      <c r="V150" s="43"/>
      <c r="W150" s="43"/>
      <c r="X150" s="43">
        <f t="shared" si="51"/>
        <v>95233.811207823979</v>
      </c>
      <c r="Y150" s="43">
        <v>78213</v>
      </c>
      <c r="Z150" s="43">
        <f t="shared" si="55"/>
        <v>78213</v>
      </c>
      <c r="AA150" s="43"/>
      <c r="AB150" s="43">
        <v>22000</v>
      </c>
      <c r="AC150" s="43"/>
      <c r="AD150" s="43">
        <f t="shared" si="52"/>
        <v>100213</v>
      </c>
      <c r="AE150" s="43">
        <v>93245.3</v>
      </c>
      <c r="AF150" s="43"/>
      <c r="AG150" s="43"/>
      <c r="AH150" s="42">
        <f t="shared" si="53"/>
        <v>93245.3</v>
      </c>
      <c r="AI150" s="41">
        <f>93240+5000</f>
        <v>98240</v>
      </c>
      <c r="AJ150" s="40">
        <v>137195.79999999999</v>
      </c>
      <c r="AK150" s="49">
        <f>134845.916666667-40000</f>
        <v>94845.916666667006</v>
      </c>
      <c r="AL150" s="39">
        <f t="shared" si="54"/>
        <v>94845.916666667006</v>
      </c>
    </row>
    <row r="151" spans="1:39" s="18" customFormat="1" ht="36" customHeight="1" x14ac:dyDescent="0.25">
      <c r="A151" s="46">
        <v>32320</v>
      </c>
      <c r="B151" s="45" t="s">
        <v>151</v>
      </c>
      <c r="C151" s="43">
        <v>194210.4</v>
      </c>
      <c r="D151" s="43">
        <f t="shared" si="56"/>
        <v>16184.199999999999</v>
      </c>
      <c r="E151" s="43">
        <v>13803.3</v>
      </c>
      <c r="F151" s="43">
        <v>16516.599999999999</v>
      </c>
      <c r="G151" s="43">
        <f t="shared" si="57"/>
        <v>45251.023200000003</v>
      </c>
      <c r="H151" s="44">
        <f t="shared" si="64"/>
        <v>0.16708570673061912</v>
      </c>
      <c r="I151" s="43">
        <v>13048.4</v>
      </c>
      <c r="J151" s="43"/>
      <c r="K151" s="43">
        <v>3740</v>
      </c>
      <c r="L151" s="43">
        <f t="shared" si="59"/>
        <v>16788.400000000001</v>
      </c>
      <c r="M151" s="43">
        <v>16780</v>
      </c>
      <c r="N151" s="43">
        <f t="shared" si="60"/>
        <v>-8.4000000000014552</v>
      </c>
      <c r="O151" s="43">
        <f t="shared" si="65"/>
        <v>99.94996545233613</v>
      </c>
      <c r="P151" s="43">
        <v>51596.7</v>
      </c>
      <c r="Q151" s="44">
        <f t="shared" si="62"/>
        <v>0.21051602896283608</v>
      </c>
      <c r="R151" s="43">
        <f>6201897*Q151/100+1000</f>
        <v>14055.987284765262</v>
      </c>
      <c r="S151" s="43"/>
      <c r="T151" s="43"/>
      <c r="U151" s="43"/>
      <c r="V151" s="43"/>
      <c r="W151" s="43"/>
      <c r="X151" s="43">
        <f t="shared" si="51"/>
        <v>14055.987284765262</v>
      </c>
      <c r="Y151" s="43">
        <v>14338</v>
      </c>
      <c r="Z151" s="43">
        <f t="shared" si="55"/>
        <v>14338</v>
      </c>
      <c r="AA151" s="43"/>
      <c r="AB151" s="43"/>
      <c r="AC151" s="43"/>
      <c r="AD151" s="43">
        <f t="shared" si="52"/>
        <v>14338</v>
      </c>
      <c r="AE151" s="43">
        <f>23879.2-7000</f>
        <v>16879.2</v>
      </c>
      <c r="AF151" s="43"/>
      <c r="AG151" s="43"/>
      <c r="AH151" s="42">
        <f t="shared" si="53"/>
        <v>16879.2</v>
      </c>
      <c r="AI151" s="41">
        <v>16866.3</v>
      </c>
      <c r="AJ151" s="40">
        <v>19289.900000000001</v>
      </c>
      <c r="AK151" s="49">
        <f>19528.2727272727-3000</f>
        <v>16528.272727272699</v>
      </c>
      <c r="AL151" s="39">
        <f t="shared" si="54"/>
        <v>16528.272727272699</v>
      </c>
    </row>
    <row r="152" spans="1:39" s="18" customFormat="1" ht="13.2" x14ac:dyDescent="0.25">
      <c r="A152" s="46">
        <v>33110</v>
      </c>
      <c r="B152" s="45" t="s">
        <v>150</v>
      </c>
      <c r="C152" s="43">
        <v>715174.2</v>
      </c>
      <c r="D152" s="43">
        <f t="shared" si="56"/>
        <v>59597.85</v>
      </c>
      <c r="E152" s="43">
        <v>51415</v>
      </c>
      <c r="F152" s="43">
        <v>76590.5</v>
      </c>
      <c r="G152" s="43">
        <f t="shared" si="57"/>
        <v>166635.58859999999</v>
      </c>
      <c r="H152" s="44">
        <f t="shared" si="64"/>
        <v>0.70540765084668056</v>
      </c>
      <c r="I152" s="43">
        <v>51892</v>
      </c>
      <c r="J152" s="43"/>
      <c r="K152" s="43"/>
      <c r="L152" s="43">
        <f t="shared" si="59"/>
        <v>51892</v>
      </c>
      <c r="M152" s="43">
        <v>46919.9</v>
      </c>
      <c r="N152" s="43">
        <f t="shared" si="60"/>
        <v>-4972.0999999999985</v>
      </c>
      <c r="O152" s="43">
        <f t="shared" si="65"/>
        <v>90.418368920064751</v>
      </c>
      <c r="P152" s="43">
        <v>186639.09999999998</v>
      </c>
      <c r="Q152" s="44">
        <f t="shared" si="62"/>
        <v>0.76149292844692895</v>
      </c>
      <c r="R152" s="43">
        <f>6201897*Q152/100</f>
        <v>47227.007084562232</v>
      </c>
      <c r="S152" s="43">
        <f>22893.4+230000</f>
        <v>252893.4</v>
      </c>
      <c r="T152" s="43"/>
      <c r="U152" s="43"/>
      <c r="V152" s="43"/>
      <c r="W152" s="43"/>
      <c r="X152" s="43">
        <f t="shared" si="51"/>
        <v>300120.40708456223</v>
      </c>
      <c r="Y152" s="43">
        <v>39981.599999999999</v>
      </c>
      <c r="Z152" s="43">
        <f t="shared" si="55"/>
        <v>39981.599999999999</v>
      </c>
      <c r="AA152" s="43">
        <v>65200</v>
      </c>
      <c r="AB152" s="43"/>
      <c r="AC152" s="43"/>
      <c r="AD152" s="43">
        <f t="shared" si="52"/>
        <v>105181.6</v>
      </c>
      <c r="AE152" s="43">
        <v>39991.199999999997</v>
      </c>
      <c r="AF152" s="43"/>
      <c r="AG152" s="42">
        <f>20424.8+35000</f>
        <v>55424.800000000003</v>
      </c>
      <c r="AH152" s="42">
        <f t="shared" si="53"/>
        <v>95416</v>
      </c>
      <c r="AI152" s="41">
        <v>68561.3</v>
      </c>
      <c r="AJ152" s="40">
        <v>293492.7</v>
      </c>
      <c r="AK152" s="49">
        <f>160837.1-100000</f>
        <v>60837.100000000006</v>
      </c>
      <c r="AL152" s="39">
        <f t="shared" si="54"/>
        <v>60837.100000000006</v>
      </c>
    </row>
    <row r="153" spans="1:39" s="18" customFormat="1" ht="12.75" customHeight="1" x14ac:dyDescent="0.25">
      <c r="A153" s="46">
        <v>33120</v>
      </c>
      <c r="B153" s="45" t="s">
        <v>149</v>
      </c>
      <c r="C153" s="43">
        <f>2630082.1+31654.6+59765.2</f>
        <v>2721501.9000000004</v>
      </c>
      <c r="D153" s="43">
        <f t="shared" si="56"/>
        <v>226791.82500000004</v>
      </c>
      <c r="E153" s="43">
        <v>221378.8</v>
      </c>
      <c r="F153" s="43">
        <v>221501.3</v>
      </c>
      <c r="G153" s="43">
        <f t="shared" si="57"/>
        <v>634109.94270000013</v>
      </c>
      <c r="H153" s="44">
        <f t="shared" si="64"/>
        <v>2.440606153233595</v>
      </c>
      <c r="I153" s="43">
        <v>190047.3</v>
      </c>
      <c r="J153" s="43"/>
      <c r="K153" s="43"/>
      <c r="L153" s="43">
        <f t="shared" si="59"/>
        <v>190047.3</v>
      </c>
      <c r="M153" s="43">
        <v>189017.7</v>
      </c>
      <c r="N153" s="43">
        <f t="shared" si="60"/>
        <v>-1029.5999999999767</v>
      </c>
      <c r="O153" s="43">
        <f t="shared" si="65"/>
        <v>99.458240132851145</v>
      </c>
      <c r="P153" s="43">
        <v>712807.29999999993</v>
      </c>
      <c r="Q153" s="44">
        <f t="shared" si="62"/>
        <v>2.9082744092494481</v>
      </c>
      <c r="R153" s="43">
        <f>6201897*Q153/100+10000</f>
        <v>190368.18333900924</v>
      </c>
      <c r="S153" s="43">
        <v>47577.2</v>
      </c>
      <c r="T153" s="43"/>
      <c r="U153" s="43"/>
      <c r="V153" s="43"/>
      <c r="W153" s="43"/>
      <c r="X153" s="43">
        <f t="shared" si="51"/>
        <v>237945.38333900925</v>
      </c>
      <c r="Y153" s="43">
        <v>219466.6</v>
      </c>
      <c r="Z153" s="43">
        <f t="shared" si="55"/>
        <v>219466.6</v>
      </c>
      <c r="AA153" s="43"/>
      <c r="AB153" s="43"/>
      <c r="AC153" s="43"/>
      <c r="AD153" s="43">
        <f t="shared" si="52"/>
        <v>219466.6</v>
      </c>
      <c r="AE153" s="43">
        <v>213966.6</v>
      </c>
      <c r="AF153" s="43"/>
      <c r="AG153" s="42">
        <f>36408.3</f>
        <v>36408.300000000003</v>
      </c>
      <c r="AH153" s="42">
        <f t="shared" si="53"/>
        <v>250374.90000000002</v>
      </c>
      <c r="AI153" s="41">
        <f>217363.5-28897.5</f>
        <v>188466</v>
      </c>
      <c r="AJ153" s="40">
        <v>205663.5</v>
      </c>
      <c r="AK153" s="49">
        <f>224609-5000</f>
        <v>219609</v>
      </c>
      <c r="AL153" s="39">
        <f t="shared" si="54"/>
        <v>219609</v>
      </c>
    </row>
    <row r="154" spans="1:39" s="18" customFormat="1" ht="13.5" customHeight="1" x14ac:dyDescent="0.25">
      <c r="A154" s="46">
        <v>33130</v>
      </c>
      <c r="B154" s="45" t="s">
        <v>148</v>
      </c>
      <c r="C154" s="43">
        <v>197318.8</v>
      </c>
      <c r="D154" s="43">
        <f t="shared" si="56"/>
        <v>16443.233333333334</v>
      </c>
      <c r="E154" s="43">
        <v>35134.400000000001</v>
      </c>
      <c r="F154" s="43">
        <v>19308.400000000001</v>
      </c>
      <c r="G154" s="43">
        <f t="shared" si="57"/>
        <v>45975.280400000003</v>
      </c>
      <c r="H154" s="44">
        <f t="shared" si="64"/>
        <v>0.30002123075583209</v>
      </c>
      <c r="I154" s="43">
        <v>18823.5</v>
      </c>
      <c r="J154" s="43">
        <v>2000</v>
      </c>
      <c r="K154" s="43"/>
      <c r="L154" s="43">
        <f t="shared" si="59"/>
        <v>20823.5</v>
      </c>
      <c r="M154" s="43">
        <v>20823.5</v>
      </c>
      <c r="N154" s="43">
        <f t="shared" si="60"/>
        <v>0</v>
      </c>
      <c r="O154" s="43">
        <f t="shared" si="65"/>
        <v>100</v>
      </c>
      <c r="P154" s="43">
        <v>58628.3</v>
      </c>
      <c r="Q154" s="44">
        <f t="shared" si="62"/>
        <v>0.23920516042386131</v>
      </c>
      <c r="R154" s="43">
        <f>6201897*Q154/100+5000</f>
        <v>19835.257668172642</v>
      </c>
      <c r="S154" s="43"/>
      <c r="T154" s="43">
        <v>16000</v>
      </c>
      <c r="U154" s="43"/>
      <c r="V154" s="43"/>
      <c r="W154" s="43"/>
      <c r="X154" s="43">
        <f t="shared" si="51"/>
        <v>35835.257668172642</v>
      </c>
      <c r="Y154" s="43">
        <v>23513.100000000002</v>
      </c>
      <c r="Z154" s="43">
        <f t="shared" si="55"/>
        <v>23513.100000000002</v>
      </c>
      <c r="AA154" s="43"/>
      <c r="AB154" s="43"/>
      <c r="AC154" s="43">
        <v>15300</v>
      </c>
      <c r="AD154" s="43">
        <f t="shared" si="52"/>
        <v>38813.100000000006</v>
      </c>
      <c r="AE154" s="43">
        <v>18330</v>
      </c>
      <c r="AF154" s="43">
        <v>22500</v>
      </c>
      <c r="AG154" s="43">
        <v>9766.9</v>
      </c>
      <c r="AH154" s="42">
        <f t="shared" si="53"/>
        <v>50596.9</v>
      </c>
      <c r="AI154" s="41">
        <f>23724.6+28897.5</f>
        <v>52622.1</v>
      </c>
      <c r="AJ154" s="40">
        <v>76920</v>
      </c>
      <c r="AK154" s="49">
        <f>37257.5-10000</f>
        <v>27257.5</v>
      </c>
      <c r="AL154" s="39">
        <f t="shared" si="54"/>
        <v>27257.5</v>
      </c>
    </row>
    <row r="155" spans="1:39" s="18" customFormat="1" ht="13.2" x14ac:dyDescent="0.25">
      <c r="A155" s="46">
        <v>33420</v>
      </c>
      <c r="B155" s="45" t="s">
        <v>147</v>
      </c>
      <c r="C155" s="43">
        <v>95902.6</v>
      </c>
      <c r="D155" s="43">
        <f t="shared" si="56"/>
        <v>7991.8833333333341</v>
      </c>
      <c r="E155" s="43">
        <v>6852</v>
      </c>
      <c r="F155" s="43">
        <v>8093.5</v>
      </c>
      <c r="G155" s="43">
        <f t="shared" si="57"/>
        <v>22345.305800000002</v>
      </c>
      <c r="H155" s="44">
        <f t="shared" si="64"/>
        <v>8.2361070779998241E-2</v>
      </c>
      <c r="I155" s="43">
        <v>7888.5</v>
      </c>
      <c r="J155" s="43"/>
      <c r="K155" s="43"/>
      <c r="L155" s="43">
        <f t="shared" si="59"/>
        <v>7888.5</v>
      </c>
      <c r="M155" s="43">
        <v>6342.7340000000004</v>
      </c>
      <c r="N155" s="43">
        <f t="shared" si="60"/>
        <v>-1545.7659999999996</v>
      </c>
      <c r="O155" s="43">
        <f t="shared" si="65"/>
        <v>80.404817138873057</v>
      </c>
      <c r="P155" s="43">
        <v>32001.300000000003</v>
      </c>
      <c r="Q155" s="44">
        <f t="shared" si="62"/>
        <v>0.13056622996525763</v>
      </c>
      <c r="R155" s="43">
        <f>6201897*Q155/100</f>
        <v>8097.5830992284136</v>
      </c>
      <c r="S155" s="43"/>
      <c r="T155" s="43"/>
      <c r="U155" s="43"/>
      <c r="V155" s="43"/>
      <c r="W155" s="43"/>
      <c r="X155" s="43">
        <f t="shared" si="51"/>
        <v>8097.5830992284136</v>
      </c>
      <c r="Y155" s="43">
        <v>9358</v>
      </c>
      <c r="Z155" s="43">
        <f t="shared" si="55"/>
        <v>9358</v>
      </c>
      <c r="AA155" s="43"/>
      <c r="AB155" s="43"/>
      <c r="AC155" s="43"/>
      <c r="AD155" s="43">
        <f t="shared" si="52"/>
        <v>9358</v>
      </c>
      <c r="AE155" s="43">
        <f>11934.4-2000</f>
        <v>9934.4</v>
      </c>
      <c r="AF155" s="43"/>
      <c r="AG155" s="43"/>
      <c r="AH155" s="42">
        <f t="shared" si="53"/>
        <v>9934.4</v>
      </c>
      <c r="AI155" s="41">
        <v>7538.8</v>
      </c>
      <c r="AJ155" s="40">
        <v>13450</v>
      </c>
      <c r="AK155" s="49">
        <f>11113.556-5000</f>
        <v>6113.5560000000005</v>
      </c>
      <c r="AL155" s="39">
        <f t="shared" si="54"/>
        <v>6113.5560000000005</v>
      </c>
    </row>
    <row r="156" spans="1:39" s="18" customFormat="1" ht="20.399999999999999" x14ac:dyDescent="0.25">
      <c r="A156" s="46">
        <v>34310</v>
      </c>
      <c r="B156" s="45" t="s">
        <v>146</v>
      </c>
      <c r="C156" s="43">
        <v>10702.3</v>
      </c>
      <c r="D156" s="43">
        <f t="shared" si="56"/>
        <v>891.85833333333323</v>
      </c>
      <c r="E156" s="43">
        <v>530.6</v>
      </c>
      <c r="F156" s="43">
        <v>355</v>
      </c>
      <c r="G156" s="43">
        <f t="shared" si="57"/>
        <v>2493.6358999999998</v>
      </c>
      <c r="H156" s="44">
        <f t="shared" si="64"/>
        <v>4.8803294826380138E-3</v>
      </c>
      <c r="I156" s="43">
        <v>1351.3</v>
      </c>
      <c r="J156" s="43"/>
      <c r="K156" s="43"/>
      <c r="L156" s="43">
        <f t="shared" si="59"/>
        <v>1351.3</v>
      </c>
      <c r="M156" s="43">
        <v>860.6</v>
      </c>
      <c r="N156" s="43">
        <f t="shared" si="60"/>
        <v>-490.69999999999993</v>
      </c>
      <c r="O156" s="43">
        <f t="shared" si="65"/>
        <v>63.686820099163775</v>
      </c>
      <c r="P156" s="43">
        <f>D156*3</f>
        <v>2675.5749999999998</v>
      </c>
      <c r="Q156" s="44">
        <f t="shared" si="62"/>
        <v>1.0916423418401568E-2</v>
      </c>
      <c r="R156" s="43">
        <f>6201897*Q156/100</f>
        <v>677.02533649314432</v>
      </c>
      <c r="S156" s="43"/>
      <c r="T156" s="43"/>
      <c r="U156" s="43"/>
      <c r="V156" s="43"/>
      <c r="W156" s="43"/>
      <c r="X156" s="43">
        <f t="shared" si="51"/>
        <v>677.02533649314432</v>
      </c>
      <c r="Y156" s="43">
        <v>898.69999999999993</v>
      </c>
      <c r="Z156" s="43">
        <f t="shared" si="55"/>
        <v>898.69999999999993</v>
      </c>
      <c r="AA156" s="43"/>
      <c r="AB156" s="43"/>
      <c r="AC156" s="43"/>
      <c r="AD156" s="43">
        <f t="shared" si="52"/>
        <v>898.69999999999993</v>
      </c>
      <c r="AE156" s="43">
        <f>2211.9-1200</f>
        <v>1011.9000000000001</v>
      </c>
      <c r="AF156" s="43"/>
      <c r="AG156" s="43"/>
      <c r="AH156" s="42">
        <f t="shared" si="53"/>
        <v>1011.9000000000001</v>
      </c>
      <c r="AI156" s="41">
        <v>919.7</v>
      </c>
      <c r="AJ156" s="40">
        <v>919.7</v>
      </c>
      <c r="AK156" s="49">
        <v>989.94736842105272</v>
      </c>
      <c r="AL156" s="39">
        <f t="shared" si="54"/>
        <v>989.94736842105272</v>
      </c>
    </row>
    <row r="157" spans="1:39" s="18" customFormat="1" ht="20.399999999999999" x14ac:dyDescent="0.25">
      <c r="A157" s="46">
        <v>34321</v>
      </c>
      <c r="B157" s="45" t="s">
        <v>145</v>
      </c>
      <c r="C157" s="43">
        <v>1089964.2</v>
      </c>
      <c r="D157" s="43">
        <f t="shared" si="56"/>
        <v>90830.349999999991</v>
      </c>
      <c r="E157" s="43">
        <v>80027.100000000006</v>
      </c>
      <c r="F157" s="43">
        <v>82915.399999999994</v>
      </c>
      <c r="G157" s="43">
        <f t="shared" si="57"/>
        <v>253961.6586</v>
      </c>
      <c r="H157" s="44">
        <f t="shared" si="64"/>
        <v>0.89793708979758868</v>
      </c>
      <c r="I157" s="43">
        <v>118124.8</v>
      </c>
      <c r="J157" s="43"/>
      <c r="K157" s="43"/>
      <c r="L157" s="43">
        <f t="shared" si="59"/>
        <v>118124.8</v>
      </c>
      <c r="M157" s="43">
        <v>86224.9</v>
      </c>
      <c r="N157" s="43">
        <f t="shared" si="60"/>
        <v>-31899.900000000009</v>
      </c>
      <c r="O157" s="43">
        <f t="shared" si="65"/>
        <v>72.994747927615535</v>
      </c>
      <c r="P157" s="43">
        <f>D157*3</f>
        <v>272491.05</v>
      </c>
      <c r="Q157" s="44">
        <f t="shared" si="62"/>
        <v>1.1117713685936041</v>
      </c>
      <c r="R157" s="43">
        <f>6201897*Q157/100+13000</f>
        <v>81950.915155665673</v>
      </c>
      <c r="S157" s="43"/>
      <c r="T157" s="43">
        <v>5000</v>
      </c>
      <c r="U157" s="43"/>
      <c r="V157" s="43"/>
      <c r="W157" s="43"/>
      <c r="X157" s="43">
        <f t="shared" si="51"/>
        <v>86950.915155665673</v>
      </c>
      <c r="Y157" s="43">
        <v>121478.39999999999</v>
      </c>
      <c r="Z157" s="43">
        <f t="shared" si="55"/>
        <v>121478.39999999999</v>
      </c>
      <c r="AA157" s="43"/>
      <c r="AB157" s="43"/>
      <c r="AC157" s="43"/>
      <c r="AD157" s="43">
        <f t="shared" si="52"/>
        <v>121478.39999999999</v>
      </c>
      <c r="AE157" s="43">
        <f>232948.9-100000</f>
        <v>132948.9</v>
      </c>
      <c r="AF157" s="43">
        <v>50000</v>
      </c>
      <c r="AG157" s="43"/>
      <c r="AH157" s="42">
        <f t="shared" si="53"/>
        <v>182948.9</v>
      </c>
      <c r="AI157" s="41">
        <v>67418.600000000006</v>
      </c>
      <c r="AJ157" s="40">
        <v>67418.600000000006</v>
      </c>
      <c r="AK157" s="49">
        <v>65390.892857142862</v>
      </c>
      <c r="AL157" s="39">
        <f t="shared" si="54"/>
        <v>65390.892857142862</v>
      </c>
    </row>
    <row r="158" spans="1:39" s="18" customFormat="1" ht="12.75" customHeight="1" x14ac:dyDescent="0.25">
      <c r="A158" s="46">
        <v>34110</v>
      </c>
      <c r="B158" s="45" t="s">
        <v>144</v>
      </c>
      <c r="C158" s="43">
        <v>34777.800000000003</v>
      </c>
      <c r="D158" s="43">
        <f t="shared" si="56"/>
        <v>2898.15</v>
      </c>
      <c r="E158" s="43">
        <v>2893.9</v>
      </c>
      <c r="F158" s="43">
        <v>3053.5</v>
      </c>
      <c r="G158" s="43">
        <f t="shared" si="57"/>
        <v>8103.2274000000007</v>
      </c>
      <c r="H158" s="44">
        <f t="shared" si="64"/>
        <v>3.2774696889161382E-2</v>
      </c>
      <c r="I158" s="43">
        <f>7990664.7*H158/100+279.3</f>
        <v>2898.2161348542168</v>
      </c>
      <c r="J158" s="43"/>
      <c r="K158" s="43"/>
      <c r="L158" s="43">
        <f t="shared" si="59"/>
        <v>2898.2161348542168</v>
      </c>
      <c r="M158" s="43">
        <v>2756</v>
      </c>
      <c r="N158" s="43">
        <f t="shared" si="60"/>
        <v>-142.21613485421676</v>
      </c>
      <c r="O158" s="43">
        <f t="shared" si="65"/>
        <v>95.092976912801205</v>
      </c>
      <c r="P158" s="43">
        <v>11633.800000000001</v>
      </c>
      <c r="Q158" s="44">
        <f t="shared" si="62"/>
        <v>4.7466240626781231E-2</v>
      </c>
      <c r="R158" s="43">
        <f>6201897*Q158/100</f>
        <v>2943.8073534451264</v>
      </c>
      <c r="S158" s="43"/>
      <c r="T158" s="43"/>
      <c r="U158" s="43"/>
      <c r="V158" s="43"/>
      <c r="W158" s="43"/>
      <c r="X158" s="43">
        <f t="shared" si="51"/>
        <v>2943.8073534451264</v>
      </c>
      <c r="Y158" s="43">
        <v>3239.5660000000003</v>
      </c>
      <c r="Z158" s="43">
        <f t="shared" si="55"/>
        <v>3239.5660000000003</v>
      </c>
      <c r="AA158" s="43"/>
      <c r="AB158" s="43"/>
      <c r="AC158" s="43"/>
      <c r="AD158" s="43">
        <f t="shared" si="52"/>
        <v>3239.5660000000003</v>
      </c>
      <c r="AE158" s="43">
        <f>6596.3-3000</f>
        <v>3596.3</v>
      </c>
      <c r="AF158" s="43"/>
      <c r="AG158" s="43"/>
      <c r="AH158" s="42">
        <f t="shared" si="53"/>
        <v>3596.3</v>
      </c>
      <c r="AI158" s="41">
        <v>3065.1</v>
      </c>
      <c r="AJ158" s="40">
        <v>3065.1</v>
      </c>
      <c r="AK158" s="49">
        <v>2225</v>
      </c>
      <c r="AL158" s="39">
        <f t="shared" si="54"/>
        <v>2225</v>
      </c>
    </row>
    <row r="159" spans="1:39" s="18" customFormat="1" ht="20.399999999999999" x14ac:dyDescent="0.25">
      <c r="A159" s="46">
        <v>34121</v>
      </c>
      <c r="B159" s="45" t="s">
        <v>143</v>
      </c>
      <c r="C159" s="43">
        <f>14758556+162362</f>
        <v>14920918</v>
      </c>
      <c r="D159" s="43">
        <f t="shared" si="56"/>
        <v>1243409.8333333333</v>
      </c>
      <c r="E159" s="43">
        <v>1473103.8</v>
      </c>
      <c r="F159" s="43">
        <v>1531737.8</v>
      </c>
      <c r="G159" s="43">
        <f t="shared" si="57"/>
        <v>3476573.8940000003</v>
      </c>
      <c r="H159" s="44">
        <f t="shared" si="64"/>
        <v>16.558962343199166</v>
      </c>
      <c r="I159" s="43">
        <f>7990664.7*H159/100</f>
        <v>1323171.1586443086</v>
      </c>
      <c r="J159" s="43">
        <f>1768213.2-I159</f>
        <v>445042.04135569138</v>
      </c>
      <c r="K159" s="43"/>
      <c r="L159" s="43">
        <f t="shared" si="59"/>
        <v>1768213.2</v>
      </c>
      <c r="M159" s="43">
        <v>1663488.9</v>
      </c>
      <c r="N159" s="43">
        <f t="shared" si="60"/>
        <v>-104724.30000000005</v>
      </c>
      <c r="O159" s="43">
        <f t="shared" si="65"/>
        <v>94.077394060851944</v>
      </c>
      <c r="P159" s="43">
        <v>7223967.2000000002</v>
      </c>
      <c r="Q159" s="44">
        <f t="shared" si="62"/>
        <v>29.473995203216059</v>
      </c>
      <c r="R159" s="43">
        <f>6201897*Q159/100-100000-50000</f>
        <v>1677946.8242884008</v>
      </c>
      <c r="S159" s="43"/>
      <c r="T159" s="43"/>
      <c r="U159" s="43"/>
      <c r="V159" s="43"/>
      <c r="W159" s="43"/>
      <c r="X159" s="43">
        <f t="shared" si="51"/>
        <v>1677946.8242884008</v>
      </c>
      <c r="Y159" s="43">
        <v>2311225.0009999997</v>
      </c>
      <c r="Z159" s="43">
        <f t="shared" si="55"/>
        <v>2311225.0009999997</v>
      </c>
      <c r="AA159" s="43"/>
      <c r="AB159" s="43"/>
      <c r="AC159" s="43"/>
      <c r="AD159" s="43">
        <f t="shared" ref="AD159:AD190" si="66">SUM(Z159:AC159)</f>
        <v>2311225.0009999997</v>
      </c>
      <c r="AE159" s="43">
        <f>3027372.05-400000</f>
        <v>2627372.0499999998</v>
      </c>
      <c r="AF159" s="43"/>
      <c r="AG159" s="43"/>
      <c r="AH159" s="42">
        <f t="shared" ref="AH159:AH190" si="67">AE159+AF159+AG159</f>
        <v>2627372.0499999998</v>
      </c>
      <c r="AI159" s="41">
        <v>833901</v>
      </c>
      <c r="AJ159" s="40">
        <v>949561.2</v>
      </c>
      <c r="AK159" s="49">
        <f>1439480.9-200000-154000</f>
        <v>1085480.8999999999</v>
      </c>
      <c r="AL159" s="39">
        <f t="shared" si="54"/>
        <v>1085480.8999999999</v>
      </c>
      <c r="AM159" s="94"/>
    </row>
    <row r="160" spans="1:39" s="18" customFormat="1" ht="20.399999999999999" x14ac:dyDescent="0.25">
      <c r="A160" s="46">
        <v>34130</v>
      </c>
      <c r="B160" s="45" t="s">
        <v>142</v>
      </c>
      <c r="C160" s="43">
        <v>153855.5</v>
      </c>
      <c r="D160" s="43">
        <f t="shared" si="56"/>
        <v>12821.291666666666</v>
      </c>
      <c r="E160" s="43">
        <v>12211.8</v>
      </c>
      <c r="F160" s="43">
        <v>12767.9</v>
      </c>
      <c r="G160" s="43">
        <f t="shared" si="57"/>
        <v>35848.3315</v>
      </c>
      <c r="H160" s="44">
        <f t="shared" si="64"/>
        <v>0.1376571436059765</v>
      </c>
      <c r="I160" s="43">
        <f>7990664.7*H160/100+1821.6</f>
        <v>12821.320781151073</v>
      </c>
      <c r="J160" s="43"/>
      <c r="K160" s="43"/>
      <c r="L160" s="43">
        <f t="shared" si="59"/>
        <v>12821.320781151073</v>
      </c>
      <c r="M160" s="43">
        <v>12821.3</v>
      </c>
      <c r="N160" s="43">
        <f t="shared" si="60"/>
        <v>-2.0781151073606452E-2</v>
      </c>
      <c r="O160" s="43">
        <f t="shared" si="65"/>
        <v>99.999837917236235</v>
      </c>
      <c r="P160" s="43">
        <v>40970.900000000009</v>
      </c>
      <c r="Q160" s="44">
        <f t="shared" si="62"/>
        <v>0.16716245750277564</v>
      </c>
      <c r="R160" s="43">
        <f>6201897*Q160/100+2000</f>
        <v>12367.243436990917</v>
      </c>
      <c r="S160" s="43"/>
      <c r="T160" s="43"/>
      <c r="U160" s="43"/>
      <c r="V160" s="43"/>
      <c r="W160" s="43"/>
      <c r="X160" s="43">
        <f t="shared" si="51"/>
        <v>12367.243436990917</v>
      </c>
      <c r="Y160" s="43">
        <v>12633.699999999999</v>
      </c>
      <c r="Z160" s="43">
        <f t="shared" si="55"/>
        <v>12633.699999999999</v>
      </c>
      <c r="AA160" s="43"/>
      <c r="AB160" s="43"/>
      <c r="AC160" s="43"/>
      <c r="AD160" s="43">
        <f t="shared" si="66"/>
        <v>12633.699999999999</v>
      </c>
      <c r="AE160" s="43">
        <v>11357.2</v>
      </c>
      <c r="AF160" s="43">
        <v>2063.8000000000002</v>
      </c>
      <c r="AG160" s="43"/>
      <c r="AH160" s="42">
        <f t="shared" si="67"/>
        <v>13421</v>
      </c>
      <c r="AI160" s="41">
        <v>13454.6</v>
      </c>
      <c r="AJ160" s="40">
        <v>13454.6</v>
      </c>
      <c r="AK160" s="49">
        <v>12276.133333333333</v>
      </c>
      <c r="AL160" s="39">
        <f t="shared" si="54"/>
        <v>12276.133333333333</v>
      </c>
    </row>
    <row r="161" spans="1:38" s="18" customFormat="1" ht="30.6" x14ac:dyDescent="0.25">
      <c r="A161" s="46">
        <v>34220</v>
      </c>
      <c r="B161" s="45" t="s">
        <v>141</v>
      </c>
      <c r="C161" s="43"/>
      <c r="D161" s="43"/>
      <c r="E161" s="43"/>
      <c r="F161" s="43"/>
      <c r="G161" s="43"/>
      <c r="H161" s="44"/>
      <c r="I161" s="43"/>
      <c r="J161" s="43"/>
      <c r="K161" s="43"/>
      <c r="L161" s="43"/>
      <c r="M161" s="43"/>
      <c r="N161" s="43"/>
      <c r="O161" s="43"/>
      <c r="P161" s="43"/>
      <c r="Q161" s="44"/>
      <c r="R161" s="43"/>
      <c r="S161" s="43">
        <v>385100</v>
      </c>
      <c r="T161" s="43"/>
      <c r="U161" s="43"/>
      <c r="V161" s="43"/>
      <c r="W161" s="43"/>
      <c r="X161" s="43">
        <f t="shared" si="51"/>
        <v>385100</v>
      </c>
      <c r="Y161" s="43"/>
      <c r="Z161" s="43">
        <f t="shared" si="55"/>
        <v>0</v>
      </c>
      <c r="AA161" s="43"/>
      <c r="AB161" s="43"/>
      <c r="AC161" s="43">
        <v>300000</v>
      </c>
      <c r="AD161" s="43">
        <f t="shared" si="66"/>
        <v>300000</v>
      </c>
      <c r="AE161" s="43"/>
      <c r="AF161" s="43"/>
      <c r="AG161" s="43">
        <v>190000</v>
      </c>
      <c r="AH161" s="42">
        <f t="shared" si="67"/>
        <v>190000</v>
      </c>
      <c r="AI161" s="41"/>
      <c r="AJ161" s="40">
        <v>64059</v>
      </c>
      <c r="AK161" s="49">
        <f>76375.1-24000</f>
        <v>52375.100000000006</v>
      </c>
      <c r="AL161" s="39">
        <f t="shared" si="54"/>
        <v>52375.100000000006</v>
      </c>
    </row>
    <row r="162" spans="1:38" s="18" customFormat="1" ht="13.2" x14ac:dyDescent="0.25">
      <c r="A162" s="48">
        <v>34911</v>
      </c>
      <c r="B162" s="45" t="s">
        <v>140</v>
      </c>
      <c r="C162" s="43">
        <v>45000</v>
      </c>
      <c r="D162" s="43">
        <f>C162/12</f>
        <v>3750</v>
      </c>
      <c r="E162" s="43"/>
      <c r="F162" s="43"/>
      <c r="G162" s="43">
        <f>C162*23.3/100</f>
        <v>10485</v>
      </c>
      <c r="H162" s="44">
        <f>(E162+F162)/(8725103.2+9421212.6)*100</f>
        <v>0</v>
      </c>
      <c r="I162" s="43">
        <v>6500</v>
      </c>
      <c r="J162" s="43"/>
      <c r="K162" s="43"/>
      <c r="L162" s="43">
        <f>SUM(I162:K162)</f>
        <v>6500</v>
      </c>
      <c r="M162" s="43">
        <v>6500</v>
      </c>
      <c r="N162" s="43">
        <f>M162-L162</f>
        <v>0</v>
      </c>
      <c r="O162" s="43">
        <f>M162/L162*100</f>
        <v>100</v>
      </c>
      <c r="P162" s="43">
        <v>7000</v>
      </c>
      <c r="Q162" s="44">
        <f>P162/24509630.1*100</f>
        <v>2.8560202546671645E-2</v>
      </c>
      <c r="R162" s="43">
        <f>6201897*Q162/100-1771.3</f>
        <v>-2.565506404766893E-2</v>
      </c>
      <c r="S162" s="43"/>
      <c r="T162" s="43"/>
      <c r="U162" s="43">
        <v>6500</v>
      </c>
      <c r="V162" s="43"/>
      <c r="W162" s="43"/>
      <c r="X162" s="43">
        <f t="shared" si="51"/>
        <v>6499.9743449359521</v>
      </c>
      <c r="Y162" s="43"/>
      <c r="Z162" s="43">
        <f t="shared" si="55"/>
        <v>0</v>
      </c>
      <c r="AA162" s="43"/>
      <c r="AB162" s="43"/>
      <c r="AC162" s="43">
        <v>1500</v>
      </c>
      <c r="AD162" s="43">
        <f t="shared" si="66"/>
        <v>1500</v>
      </c>
      <c r="AE162" s="43"/>
      <c r="AF162" s="43"/>
      <c r="AG162" s="43"/>
      <c r="AH162" s="42">
        <f t="shared" si="67"/>
        <v>0</v>
      </c>
      <c r="AI162" s="41">
        <f>6000</f>
        <v>6000</v>
      </c>
      <c r="AJ162" s="40">
        <v>0</v>
      </c>
      <c r="AK162" s="49">
        <v>3000</v>
      </c>
      <c r="AL162" s="39">
        <f t="shared" si="54"/>
        <v>3000</v>
      </c>
    </row>
    <row r="163" spans="1:38" s="18" customFormat="1" ht="20.399999999999999" x14ac:dyDescent="0.25">
      <c r="A163" s="48">
        <v>36110</v>
      </c>
      <c r="B163" s="45" t="s">
        <v>139</v>
      </c>
      <c r="C163" s="43"/>
      <c r="D163" s="43"/>
      <c r="E163" s="43"/>
      <c r="F163" s="43"/>
      <c r="G163" s="43"/>
      <c r="H163" s="44"/>
      <c r="I163" s="43"/>
      <c r="J163" s="43"/>
      <c r="K163" s="43"/>
      <c r="L163" s="43"/>
      <c r="M163" s="43"/>
      <c r="N163" s="43"/>
      <c r="O163" s="43"/>
      <c r="P163" s="43"/>
      <c r="Q163" s="44"/>
      <c r="R163" s="43"/>
      <c r="S163" s="43"/>
      <c r="T163" s="43"/>
      <c r="U163" s="43"/>
      <c r="V163" s="43"/>
      <c r="W163" s="43"/>
      <c r="X163" s="43"/>
      <c r="Y163" s="43"/>
      <c r="Z163" s="43"/>
      <c r="AA163" s="43">
        <v>6076</v>
      </c>
      <c r="AB163" s="43"/>
      <c r="AC163" s="43"/>
      <c r="AD163" s="43">
        <f t="shared" si="66"/>
        <v>6076</v>
      </c>
      <c r="AE163" s="43">
        <v>7500</v>
      </c>
      <c r="AF163" s="43"/>
      <c r="AG163" s="43"/>
      <c r="AH163" s="42">
        <f t="shared" si="67"/>
        <v>7500</v>
      </c>
      <c r="AI163" s="41">
        <f>7000</f>
        <v>7000</v>
      </c>
      <c r="AJ163" s="40">
        <v>5800</v>
      </c>
      <c r="AK163" s="49">
        <v>7197.2</v>
      </c>
      <c r="AL163" s="39">
        <f t="shared" si="54"/>
        <v>7197.2</v>
      </c>
    </row>
    <row r="164" spans="1:38" s="18" customFormat="1" ht="20.399999999999999" x14ac:dyDescent="0.25">
      <c r="A164" s="46">
        <v>36121</v>
      </c>
      <c r="B164" s="45" t="s">
        <v>138</v>
      </c>
      <c r="C164" s="43">
        <v>651805.6</v>
      </c>
      <c r="D164" s="43">
        <f t="shared" ref="D164:D195" si="68">C164/12</f>
        <v>54317.133333333331</v>
      </c>
      <c r="E164" s="43">
        <v>28800.7</v>
      </c>
      <c r="F164" s="43">
        <v>79833.7</v>
      </c>
      <c r="G164" s="43">
        <f t="shared" ref="G164:G195" si="69">C164*23.3/100</f>
        <v>151870.70480000001</v>
      </c>
      <c r="H164" s="44">
        <f t="shared" ref="H164:H195" si="70">(E164+F164)/(8725103.2+9421212.6)*100</f>
        <v>0.59865815847864834</v>
      </c>
      <c r="I164" s="43">
        <f>7990664.7*H164/100+6480.3</f>
        <v>54317.066143223412</v>
      </c>
      <c r="J164" s="43"/>
      <c r="K164" s="43"/>
      <c r="L164" s="43">
        <f t="shared" ref="L164:L195" si="71">SUM(I164:K164)</f>
        <v>54317.066143223412</v>
      </c>
      <c r="M164" s="43">
        <v>39110.400000000001</v>
      </c>
      <c r="N164" s="43">
        <f t="shared" ref="N164:N195" si="72">M164-L164</f>
        <v>-15206.66614322341</v>
      </c>
      <c r="O164" s="43">
        <f t="shared" ref="O164:O204" si="73">M164/L164*100</f>
        <v>72.003888974550975</v>
      </c>
      <c r="P164" s="43">
        <v>183546.39999999997</v>
      </c>
      <c r="Q164" s="44">
        <f t="shared" ref="Q164:Q195" si="74">P164/24509630.1*100</f>
        <v>0.74887462295891583</v>
      </c>
      <c r="R164" s="43">
        <f>6201897*Q164/100</f>
        <v>46444.432775050307</v>
      </c>
      <c r="S164" s="43"/>
      <c r="T164" s="43"/>
      <c r="U164" s="43"/>
      <c r="V164" s="43"/>
      <c r="W164" s="43"/>
      <c r="X164" s="43">
        <f>SUM(R164:V164)</f>
        <v>46444.432775050307</v>
      </c>
      <c r="Y164" s="43">
        <v>25516.5</v>
      </c>
      <c r="Z164" s="43">
        <f t="shared" ref="Z164:Z170" si="75">Y164</f>
        <v>25516.5</v>
      </c>
      <c r="AA164" s="43">
        <v>16000</v>
      </c>
      <c r="AB164" s="43"/>
      <c r="AC164" s="43"/>
      <c r="AD164" s="43">
        <f t="shared" si="66"/>
        <v>41516.5</v>
      </c>
      <c r="AE164" s="43">
        <v>108449</v>
      </c>
      <c r="AF164" s="43"/>
      <c r="AG164" s="43">
        <v>6870.2</v>
      </c>
      <c r="AH164" s="42">
        <f t="shared" si="67"/>
        <v>115319.2</v>
      </c>
      <c r="AI164" s="41">
        <f>54886.8-4364.9</f>
        <v>50521.9</v>
      </c>
      <c r="AJ164" s="40">
        <v>44221.9</v>
      </c>
      <c r="AK164" s="49">
        <f>47324.1333333333-7000</f>
        <v>40324.133333333302</v>
      </c>
      <c r="AL164" s="39">
        <f t="shared" si="54"/>
        <v>40324.133333333302</v>
      </c>
    </row>
    <row r="165" spans="1:38" s="18" customFormat="1" ht="20.399999999999999" x14ac:dyDescent="0.25">
      <c r="A165" s="46">
        <v>36131</v>
      </c>
      <c r="B165" s="45" t="s">
        <v>137</v>
      </c>
      <c r="C165" s="43">
        <v>8535441.6999999993</v>
      </c>
      <c r="D165" s="43">
        <f t="shared" si="68"/>
        <v>711286.80833333323</v>
      </c>
      <c r="E165" s="43">
        <v>677392.9</v>
      </c>
      <c r="F165" s="43">
        <v>561284.1</v>
      </c>
      <c r="G165" s="43">
        <f t="shared" si="69"/>
        <v>1988757.9160999998</v>
      </c>
      <c r="H165" s="44">
        <f t="shared" si="70"/>
        <v>6.8260522612529435</v>
      </c>
      <c r="I165" s="43">
        <f>7990664.7*H165/100+45372.4</f>
        <v>590819.34844349069</v>
      </c>
      <c r="J165" s="43"/>
      <c r="K165" s="43"/>
      <c r="L165" s="43">
        <f t="shared" si="71"/>
        <v>590819.34844349069</v>
      </c>
      <c r="M165" s="43">
        <v>560273.80000000005</v>
      </c>
      <c r="N165" s="43">
        <f t="shared" si="72"/>
        <v>-30545.548443490639</v>
      </c>
      <c r="O165" s="43">
        <f t="shared" si="73"/>
        <v>94.829968157955108</v>
      </c>
      <c r="P165" s="43">
        <v>1800675</v>
      </c>
      <c r="Q165" s="44">
        <f t="shared" si="74"/>
        <v>7.3468061029611373</v>
      </c>
      <c r="R165" s="43">
        <f>6201897*Q165/100+100000</f>
        <v>555641.34729536367</v>
      </c>
      <c r="S165" s="43">
        <v>12200</v>
      </c>
      <c r="T165" s="43">
        <v>185160.5</v>
      </c>
      <c r="U165" s="43"/>
      <c r="V165" s="43"/>
      <c r="W165" s="43"/>
      <c r="X165" s="43">
        <f>SUM(R165:V165)</f>
        <v>753001.84729536367</v>
      </c>
      <c r="Y165" s="43">
        <v>600225</v>
      </c>
      <c r="Z165" s="43">
        <f t="shared" si="75"/>
        <v>600225</v>
      </c>
      <c r="AA165" s="43">
        <f>-6076+6076</f>
        <v>0</v>
      </c>
      <c r="AB165" s="43"/>
      <c r="AC165" s="43"/>
      <c r="AD165" s="43">
        <f t="shared" si="66"/>
        <v>600225</v>
      </c>
      <c r="AE165" s="43">
        <v>463388</v>
      </c>
      <c r="AF165" s="43"/>
      <c r="AG165" s="43">
        <v>65983.7</v>
      </c>
      <c r="AH165" s="42">
        <f t="shared" si="67"/>
        <v>529371.69999999995</v>
      </c>
      <c r="AI165" s="41">
        <f>600163.5+4364.9</f>
        <v>604528.4</v>
      </c>
      <c r="AJ165" s="40">
        <v>612028.4</v>
      </c>
      <c r="AK165" s="49">
        <f>991221.7-420000</f>
        <v>571221.69999999995</v>
      </c>
      <c r="AL165" s="39">
        <f t="shared" si="54"/>
        <v>571221.69999999995</v>
      </c>
    </row>
    <row r="166" spans="1:38" s="18" customFormat="1" ht="13.2" x14ac:dyDescent="0.25">
      <c r="A166" s="46">
        <v>37110</v>
      </c>
      <c r="B166" s="45" t="s">
        <v>136</v>
      </c>
      <c r="C166" s="43">
        <v>24335.4</v>
      </c>
      <c r="D166" s="43">
        <f t="shared" si="68"/>
        <v>2027.95</v>
      </c>
      <c r="E166" s="43">
        <v>1941.5</v>
      </c>
      <c r="F166" s="43">
        <v>2057.1999999999998</v>
      </c>
      <c r="G166" s="43">
        <f t="shared" si="69"/>
        <v>5670.1482000000005</v>
      </c>
      <c r="H166" s="44">
        <f t="shared" si="70"/>
        <v>2.2035877938374689E-2</v>
      </c>
      <c r="I166" s="43">
        <f>7990664.7*H166/100+267.2</f>
        <v>2028.0131197567941</v>
      </c>
      <c r="J166" s="43"/>
      <c r="K166" s="43"/>
      <c r="L166" s="43">
        <f t="shared" si="71"/>
        <v>2028.0131197567941</v>
      </c>
      <c r="M166" s="43">
        <v>1518.7</v>
      </c>
      <c r="N166" s="43">
        <f t="shared" si="72"/>
        <v>-509.31311975679409</v>
      </c>
      <c r="O166" s="43">
        <f t="shared" si="73"/>
        <v>74.886103309929638</v>
      </c>
      <c r="P166" s="43">
        <v>6287.9</v>
      </c>
      <c r="Q166" s="44">
        <f t="shared" si="74"/>
        <v>2.565481394188809E-2</v>
      </c>
      <c r="R166" s="43">
        <f>6201897*Q166/100</f>
        <v>1591.0851362175392</v>
      </c>
      <c r="S166" s="43"/>
      <c r="T166" s="43"/>
      <c r="U166" s="43"/>
      <c r="V166" s="43"/>
      <c r="W166" s="43"/>
      <c r="X166" s="43">
        <f>SUM(R166:V166)</f>
        <v>1591.0851362175392</v>
      </c>
      <c r="Y166" s="43">
        <v>1665.6</v>
      </c>
      <c r="Z166" s="43">
        <f t="shared" si="75"/>
        <v>1665.6</v>
      </c>
      <c r="AA166" s="43"/>
      <c r="AB166" s="43"/>
      <c r="AC166" s="43"/>
      <c r="AD166" s="43">
        <f t="shared" si="66"/>
        <v>1665.6</v>
      </c>
      <c r="AE166" s="43">
        <f>2521.02-500</f>
        <v>2021.02</v>
      </c>
      <c r="AF166" s="43"/>
      <c r="AG166" s="43"/>
      <c r="AH166" s="42">
        <f t="shared" si="67"/>
        <v>2021.02</v>
      </c>
      <c r="AI166" s="41">
        <f>2057.4+690</f>
        <v>2747.4</v>
      </c>
      <c r="AJ166" s="40">
        <v>2974.8</v>
      </c>
      <c r="AK166" s="49">
        <f>2737.86666666667-1000</f>
        <v>1737.86666666667</v>
      </c>
      <c r="AL166" s="39">
        <f t="shared" si="54"/>
        <v>1737.86666666667</v>
      </c>
    </row>
    <row r="167" spans="1:38" s="18" customFormat="1" ht="13.5" customHeight="1" x14ac:dyDescent="0.25">
      <c r="A167" s="46">
        <v>37121</v>
      </c>
      <c r="B167" s="45" t="s">
        <v>135</v>
      </c>
      <c r="C167" s="43">
        <f>2593806.7+235784.3+7860.8</f>
        <v>2837451.8</v>
      </c>
      <c r="D167" s="43">
        <f t="shared" si="68"/>
        <v>236454.31666666665</v>
      </c>
      <c r="E167" s="43">
        <v>138579.79999999999</v>
      </c>
      <c r="F167" s="43">
        <v>175152.8</v>
      </c>
      <c r="G167" s="43">
        <f t="shared" si="69"/>
        <v>661126.26939999999</v>
      </c>
      <c r="H167" s="44">
        <f t="shared" si="70"/>
        <v>1.7289052139167556</v>
      </c>
      <c r="I167" s="43">
        <f>7990664.7*H167/100</f>
        <v>138151.01862490567</v>
      </c>
      <c r="J167" s="43">
        <v>20950</v>
      </c>
      <c r="K167" s="43"/>
      <c r="L167" s="43">
        <f t="shared" si="71"/>
        <v>159101.01862490567</v>
      </c>
      <c r="M167" s="43">
        <v>119107.2</v>
      </c>
      <c r="N167" s="43">
        <f t="shared" si="72"/>
        <v>-39993.818624905674</v>
      </c>
      <c r="O167" s="43">
        <f t="shared" si="73"/>
        <v>74.862625663513484</v>
      </c>
      <c r="P167" s="43">
        <v>758439.39999999991</v>
      </c>
      <c r="Q167" s="44">
        <f t="shared" si="74"/>
        <v>3.0944546976251588</v>
      </c>
      <c r="R167" s="43">
        <f>6201897*Q167/100-50000</f>
        <v>141914.89305837377</v>
      </c>
      <c r="S167" s="43"/>
      <c r="T167" s="43">
        <v>50000</v>
      </c>
      <c r="U167" s="43"/>
      <c r="V167" s="43"/>
      <c r="W167" s="43"/>
      <c r="X167" s="43">
        <f>SUM(R167:V167)</f>
        <v>191914.89305837377</v>
      </c>
      <c r="Y167" s="43">
        <v>139600.9</v>
      </c>
      <c r="Z167" s="43">
        <f t="shared" si="75"/>
        <v>139600.9</v>
      </c>
      <c r="AA167" s="43"/>
      <c r="AB167" s="43">
        <v>50000</v>
      </c>
      <c r="AC167" s="43"/>
      <c r="AD167" s="43">
        <f t="shared" si="66"/>
        <v>189600.9</v>
      </c>
      <c r="AE167" s="43">
        <f>217310.3-25000</f>
        <v>192310.3</v>
      </c>
      <c r="AF167" s="43"/>
      <c r="AG167" s="43"/>
      <c r="AH167" s="42">
        <f t="shared" si="67"/>
        <v>192310.3</v>
      </c>
      <c r="AI167" s="41">
        <v>200089.1</v>
      </c>
      <c r="AJ167" s="40">
        <v>237643.2</v>
      </c>
      <c r="AK167" s="49">
        <f>250405.91-50000-64000</f>
        <v>136405.91</v>
      </c>
      <c r="AL167" s="39">
        <f t="shared" si="54"/>
        <v>136405.91</v>
      </c>
    </row>
    <row r="168" spans="1:38" s="18" customFormat="1" ht="20.399999999999999" x14ac:dyDescent="0.25">
      <c r="A168" s="46">
        <v>38110</v>
      </c>
      <c r="B168" s="45" t="s">
        <v>134</v>
      </c>
      <c r="C168" s="43">
        <v>43753.2</v>
      </c>
      <c r="D168" s="43">
        <f t="shared" si="68"/>
        <v>3646.1</v>
      </c>
      <c r="E168" s="43">
        <v>2874.3</v>
      </c>
      <c r="F168" s="43">
        <v>2858.5</v>
      </c>
      <c r="G168" s="43">
        <f t="shared" si="69"/>
        <v>10194.4956</v>
      </c>
      <c r="H168" s="44">
        <f t="shared" si="70"/>
        <v>3.1592087689777781E-2</v>
      </c>
      <c r="I168" s="43">
        <f>7990664.7*H168/100+342</f>
        <v>2866.4177990201188</v>
      </c>
      <c r="J168" s="43"/>
      <c r="K168" s="43"/>
      <c r="L168" s="43">
        <f t="shared" si="71"/>
        <v>2866.4177990201188</v>
      </c>
      <c r="M168" s="43">
        <v>2866.4</v>
      </c>
      <c r="N168" s="43">
        <f t="shared" si="72"/>
        <v>-1.779902011867307E-2</v>
      </c>
      <c r="O168" s="43">
        <f t="shared" si="73"/>
        <v>99.999379050042009</v>
      </c>
      <c r="P168" s="43">
        <v>11776.099999999999</v>
      </c>
      <c r="Q168" s="44">
        <f t="shared" si="74"/>
        <v>4.8046828744265697E-2</v>
      </c>
      <c r="R168" s="43">
        <f>6201897*Q168/100</f>
        <v>2979.8148304857518</v>
      </c>
      <c r="S168" s="43"/>
      <c r="T168" s="43"/>
      <c r="U168" s="43"/>
      <c r="V168" s="43"/>
      <c r="W168" s="43"/>
      <c r="X168" s="43">
        <f>SUM(R168:V168)</f>
        <v>2979.8148304857518</v>
      </c>
      <c r="Y168" s="43">
        <v>2945.7340000000004</v>
      </c>
      <c r="Z168" s="43">
        <f t="shared" si="75"/>
        <v>2945.7340000000004</v>
      </c>
      <c r="AA168" s="43"/>
      <c r="AB168" s="43"/>
      <c r="AC168" s="43"/>
      <c r="AD168" s="43">
        <f t="shared" si="66"/>
        <v>2945.7340000000004</v>
      </c>
      <c r="AE168" s="43">
        <f>5679.7-2500</f>
        <v>3179.7</v>
      </c>
      <c r="AF168" s="43"/>
      <c r="AG168" s="43"/>
      <c r="AH168" s="42">
        <f t="shared" si="67"/>
        <v>3179.7</v>
      </c>
      <c r="AI168" s="41">
        <v>3346.1</v>
      </c>
      <c r="AJ168" s="40">
        <v>3846.1</v>
      </c>
      <c r="AK168" s="49">
        <v>3059.2</v>
      </c>
      <c r="AL168" s="39">
        <f t="shared" si="54"/>
        <v>3059.2</v>
      </c>
    </row>
    <row r="169" spans="1:38" s="18" customFormat="1" ht="20.399999999999999" x14ac:dyDescent="0.25">
      <c r="A169" s="46">
        <v>38121</v>
      </c>
      <c r="B169" s="45" t="s">
        <v>133</v>
      </c>
      <c r="C169" s="43">
        <v>8190516.0999999996</v>
      </c>
      <c r="D169" s="43">
        <f t="shared" si="68"/>
        <v>682543.0083333333</v>
      </c>
      <c r="E169" s="43">
        <v>677020</v>
      </c>
      <c r="F169" s="43">
        <v>652154.4</v>
      </c>
      <c r="G169" s="43">
        <f t="shared" si="69"/>
        <v>1908390.2512999999</v>
      </c>
      <c r="H169" s="44">
        <f t="shared" si="70"/>
        <v>7.3247617568740875</v>
      </c>
      <c r="I169" s="43">
        <f>7990664.7*H169/100+97245.8</f>
        <v>682542.95206563757</v>
      </c>
      <c r="J169" s="43"/>
      <c r="K169" s="43"/>
      <c r="L169" s="43">
        <f t="shared" si="71"/>
        <v>682542.95206563757</v>
      </c>
      <c r="M169" s="43">
        <v>655670.4</v>
      </c>
      <c r="N169" s="43">
        <f t="shared" si="72"/>
        <v>-26872.552065637545</v>
      </c>
      <c r="O169" s="43">
        <f t="shared" si="73"/>
        <v>96.062877510593154</v>
      </c>
      <c r="P169" s="43">
        <v>2160521.5</v>
      </c>
      <c r="Q169" s="44">
        <f t="shared" si="74"/>
        <v>8.8149902352055491</v>
      </c>
      <c r="R169" s="43">
        <f>6201897*Q169/100+115000</f>
        <v>661696.61494750588</v>
      </c>
      <c r="S169" s="43">
        <v>101512.1</v>
      </c>
      <c r="T169" s="43"/>
      <c r="U169" s="43"/>
      <c r="V169" s="43"/>
      <c r="W169" s="43">
        <v>8914.4</v>
      </c>
      <c r="X169" s="43">
        <f>SUM(R169:V169)+W169</f>
        <v>772123.11494750588</v>
      </c>
      <c r="Y169" s="43">
        <v>706529.598</v>
      </c>
      <c r="Z169" s="43">
        <f t="shared" si="75"/>
        <v>706529.598</v>
      </c>
      <c r="AA169" s="43"/>
      <c r="AB169" s="43"/>
      <c r="AC169" s="43"/>
      <c r="AD169" s="43">
        <f t="shared" si="66"/>
        <v>706529.598</v>
      </c>
      <c r="AE169" s="43">
        <v>755797.3</v>
      </c>
      <c r="AF169" s="43"/>
      <c r="AG169" s="43"/>
      <c r="AH169" s="42">
        <f t="shared" si="67"/>
        <v>755797.3</v>
      </c>
      <c r="AI169" s="41">
        <v>715765</v>
      </c>
      <c r="AJ169" s="40">
        <v>795184.8</v>
      </c>
      <c r="AK169" s="49">
        <f>612000-43000</f>
        <v>569000</v>
      </c>
      <c r="AL169" s="39">
        <f t="shared" si="54"/>
        <v>569000</v>
      </c>
    </row>
    <row r="170" spans="1:38" s="18" customFormat="1" ht="20.399999999999999" x14ac:dyDescent="0.25">
      <c r="A170" s="46">
        <v>39120</v>
      </c>
      <c r="B170" s="45" t="s">
        <v>132</v>
      </c>
      <c r="C170" s="43">
        <v>13497.3</v>
      </c>
      <c r="D170" s="43">
        <f t="shared" si="68"/>
        <v>1124.7749999999999</v>
      </c>
      <c r="E170" s="43">
        <v>1070.3</v>
      </c>
      <c r="F170" s="43">
        <v>1086.3</v>
      </c>
      <c r="G170" s="43">
        <f t="shared" si="69"/>
        <v>3144.8708999999999</v>
      </c>
      <c r="H170" s="44">
        <f t="shared" si="70"/>
        <v>1.1884506054942569E-2</v>
      </c>
      <c r="I170" s="43">
        <v>1207.3</v>
      </c>
      <c r="J170" s="43"/>
      <c r="K170" s="43"/>
      <c r="L170" s="43">
        <f t="shared" si="71"/>
        <v>1207.3</v>
      </c>
      <c r="M170" s="43">
        <v>1203.2</v>
      </c>
      <c r="N170" s="43">
        <f t="shared" si="72"/>
        <v>-4.0999999999999091</v>
      </c>
      <c r="O170" s="43">
        <f t="shared" si="73"/>
        <v>99.660399237969031</v>
      </c>
      <c r="P170" s="43">
        <v>4843.8000000000011</v>
      </c>
      <c r="Q170" s="44">
        <f t="shared" si="74"/>
        <v>1.9762844156509734E-2</v>
      </c>
      <c r="R170" s="43">
        <f>6201897*Q170/100</f>
        <v>1225.6712388572525</v>
      </c>
      <c r="S170" s="43"/>
      <c r="T170" s="43"/>
      <c r="U170" s="43"/>
      <c r="V170" s="43"/>
      <c r="W170" s="43"/>
      <c r="X170" s="43">
        <f t="shared" ref="X170:X201" si="76">SUM(R170:V170)</f>
        <v>1225.6712388572525</v>
      </c>
      <c r="Y170" s="43">
        <v>1457.932</v>
      </c>
      <c r="Z170" s="43">
        <f t="shared" si="75"/>
        <v>1457.932</v>
      </c>
      <c r="AA170" s="43"/>
      <c r="AB170" s="43"/>
      <c r="AC170" s="43"/>
      <c r="AD170" s="43">
        <f t="shared" si="66"/>
        <v>1457.932</v>
      </c>
      <c r="AE170" s="43">
        <f>3230.2-1500</f>
        <v>1730.1999999999998</v>
      </c>
      <c r="AF170" s="43"/>
      <c r="AG170" s="43"/>
      <c r="AH170" s="42">
        <f t="shared" si="67"/>
        <v>1730.1999999999998</v>
      </c>
      <c r="AI170" s="41">
        <v>1125</v>
      </c>
      <c r="AJ170" s="40">
        <v>1387.9</v>
      </c>
      <c r="AK170" s="49">
        <v>1317.6</v>
      </c>
      <c r="AL170" s="39">
        <f t="shared" si="54"/>
        <v>1317.6</v>
      </c>
    </row>
    <row r="171" spans="1:38" s="18" customFormat="1" ht="40.799999999999997" x14ac:dyDescent="0.25">
      <c r="A171" s="46">
        <v>40120</v>
      </c>
      <c r="B171" s="45" t="s">
        <v>131</v>
      </c>
      <c r="C171" s="43">
        <v>739.4</v>
      </c>
      <c r="D171" s="43">
        <f t="shared" si="68"/>
        <v>61.616666666666667</v>
      </c>
      <c r="E171" s="43">
        <v>45.6</v>
      </c>
      <c r="F171" s="43">
        <v>45.6</v>
      </c>
      <c r="G171" s="43">
        <f t="shared" si="69"/>
        <v>172.28020000000001</v>
      </c>
      <c r="H171" s="44">
        <f t="shared" si="70"/>
        <v>5.02581355935622E-4</v>
      </c>
      <c r="I171" s="43">
        <v>93.7</v>
      </c>
      <c r="J171" s="43"/>
      <c r="K171" s="43"/>
      <c r="L171" s="43">
        <f t="shared" si="71"/>
        <v>93.7</v>
      </c>
      <c r="M171" s="43">
        <v>93.65</v>
      </c>
      <c r="N171" s="43">
        <f t="shared" si="72"/>
        <v>-4.9999999999997158E-2</v>
      </c>
      <c r="O171" s="43">
        <f t="shared" si="73"/>
        <v>99.946638207043762</v>
      </c>
      <c r="P171" s="43">
        <v>177.00000000000003</v>
      </c>
      <c r="Q171" s="44">
        <f t="shared" si="74"/>
        <v>7.2216512153726884E-4</v>
      </c>
      <c r="R171" s="43">
        <f>6201897*Q171/100</f>
        <v>44.78793700766623</v>
      </c>
      <c r="S171" s="43"/>
      <c r="T171" s="43"/>
      <c r="U171" s="43"/>
      <c r="V171" s="43"/>
      <c r="W171" s="43"/>
      <c r="X171" s="43">
        <f t="shared" si="76"/>
        <v>44.78793700766623</v>
      </c>
      <c r="Y171" s="43"/>
      <c r="Z171" s="43">
        <f>D171</f>
        <v>61.616666666666667</v>
      </c>
      <c r="AA171" s="43"/>
      <c r="AB171" s="43"/>
      <c r="AC171" s="43"/>
      <c r="AD171" s="43">
        <f t="shared" si="66"/>
        <v>61.616666666666667</v>
      </c>
      <c r="AE171" s="43">
        <v>70.599999999999994</v>
      </c>
      <c r="AF171" s="43"/>
      <c r="AG171" s="43"/>
      <c r="AH171" s="42">
        <f t="shared" si="67"/>
        <v>70.599999999999994</v>
      </c>
      <c r="AI171" s="41">
        <v>62</v>
      </c>
      <c r="AJ171" s="40">
        <v>62</v>
      </c>
      <c r="AK171" s="49">
        <v>67.95</v>
      </c>
      <c r="AL171" s="39">
        <f t="shared" si="54"/>
        <v>67.95</v>
      </c>
    </row>
    <row r="172" spans="1:38" s="18" customFormat="1" ht="20.399999999999999" x14ac:dyDescent="0.25">
      <c r="A172" s="46">
        <v>41110</v>
      </c>
      <c r="B172" s="45" t="s">
        <v>130</v>
      </c>
      <c r="C172" s="43">
        <v>41967.3</v>
      </c>
      <c r="D172" s="43">
        <f t="shared" si="68"/>
        <v>3497.2750000000001</v>
      </c>
      <c r="E172" s="43">
        <v>1778.3</v>
      </c>
      <c r="F172" s="43">
        <v>2928.9</v>
      </c>
      <c r="G172" s="43">
        <f t="shared" si="69"/>
        <v>9778.3809000000001</v>
      </c>
      <c r="H172" s="44">
        <f t="shared" si="70"/>
        <v>2.5940251739694734E-2</v>
      </c>
      <c r="I172" s="43">
        <f>7990664.7*H172/100</f>
        <v>2072.7985388549232</v>
      </c>
      <c r="J172" s="43"/>
      <c r="K172" s="43"/>
      <c r="L172" s="43">
        <f t="shared" si="71"/>
        <v>2072.7985388549232</v>
      </c>
      <c r="M172" s="43">
        <v>2072.8000000000002</v>
      </c>
      <c r="N172" s="43">
        <f t="shared" si="72"/>
        <v>1.4611450769734802E-3</v>
      </c>
      <c r="O172" s="43">
        <f t="shared" si="73"/>
        <v>100.00007049141774</v>
      </c>
      <c r="P172" s="43">
        <v>11642.1</v>
      </c>
      <c r="Q172" s="44">
        <f t="shared" si="74"/>
        <v>4.7500104866943706E-2</v>
      </c>
      <c r="R172" s="43">
        <f>6201897*Q172/100-1000</f>
        <v>1945.907578739836</v>
      </c>
      <c r="S172" s="43">
        <v>1265.8</v>
      </c>
      <c r="T172" s="43"/>
      <c r="U172" s="43"/>
      <c r="V172" s="43"/>
      <c r="W172" s="43"/>
      <c r="X172" s="43">
        <f t="shared" si="76"/>
        <v>3211.7075787398362</v>
      </c>
      <c r="Y172" s="43">
        <v>1922.6659999999999</v>
      </c>
      <c r="Z172" s="43">
        <f t="shared" ref="Z172:Z203" si="77">Y172</f>
        <v>1922.6659999999999</v>
      </c>
      <c r="AA172" s="43"/>
      <c r="AB172" s="43"/>
      <c r="AC172" s="43">
        <v>1858.2</v>
      </c>
      <c r="AD172" s="43">
        <f t="shared" si="66"/>
        <v>3780.866</v>
      </c>
      <c r="AE172" s="43">
        <v>1947.5</v>
      </c>
      <c r="AF172" s="43">
        <v>880</v>
      </c>
      <c r="AG172" s="43"/>
      <c r="AH172" s="42">
        <f t="shared" si="67"/>
        <v>2827.5</v>
      </c>
      <c r="AI172" s="41">
        <v>2862.2</v>
      </c>
      <c r="AJ172" s="40">
        <v>2556.6999999999998</v>
      </c>
      <c r="AK172" s="49">
        <v>2582.6285714285718</v>
      </c>
      <c r="AL172" s="39">
        <f t="shared" si="54"/>
        <v>2582.6285714285718</v>
      </c>
    </row>
    <row r="173" spans="1:38" s="18" customFormat="1" ht="20.399999999999999" x14ac:dyDescent="0.25">
      <c r="A173" s="46">
        <v>41121</v>
      </c>
      <c r="B173" s="45" t="s">
        <v>129</v>
      </c>
      <c r="C173" s="43">
        <v>182789.2</v>
      </c>
      <c r="D173" s="43">
        <f t="shared" si="68"/>
        <v>15232.433333333334</v>
      </c>
      <c r="E173" s="43">
        <v>6376.5</v>
      </c>
      <c r="F173" s="43">
        <v>8986</v>
      </c>
      <c r="G173" s="43">
        <f t="shared" si="69"/>
        <v>42589.883600000001</v>
      </c>
      <c r="H173" s="44">
        <f t="shared" si="70"/>
        <v>8.4659057900888082E-2</v>
      </c>
      <c r="I173" s="43">
        <f>7990664.7*H173/100</f>
        <v>6764.8214550388257</v>
      </c>
      <c r="J173" s="43"/>
      <c r="K173" s="43"/>
      <c r="L173" s="43">
        <f t="shared" si="71"/>
        <v>6764.8214550388257</v>
      </c>
      <c r="M173" s="43">
        <v>6764.8</v>
      </c>
      <c r="N173" s="43">
        <f t="shared" si="72"/>
        <v>-2.1455038825479278E-2</v>
      </c>
      <c r="O173" s="43">
        <f t="shared" si="73"/>
        <v>99.999682843974995</v>
      </c>
      <c r="P173" s="43">
        <v>51072.600000000006</v>
      </c>
      <c r="Q173" s="44">
        <f t="shared" si="74"/>
        <v>0.20837768579787747</v>
      </c>
      <c r="R173" s="43">
        <f>6201897*Q173/100-4000</f>
        <v>8923.3694441679891</v>
      </c>
      <c r="S173" s="43">
        <v>15341.5</v>
      </c>
      <c r="T173" s="43"/>
      <c r="U173" s="43"/>
      <c r="V173" s="43"/>
      <c r="W173" s="43"/>
      <c r="X173" s="43">
        <f t="shared" si="76"/>
        <v>24264.869444167991</v>
      </c>
      <c r="Y173" s="43">
        <v>7440.5659999999998</v>
      </c>
      <c r="Z173" s="43">
        <f t="shared" si="77"/>
        <v>7440.5659999999998</v>
      </c>
      <c r="AA173" s="43"/>
      <c r="AB173" s="43"/>
      <c r="AC173" s="43">
        <v>11413.8</v>
      </c>
      <c r="AD173" s="43">
        <f t="shared" si="66"/>
        <v>18854.365999999998</v>
      </c>
      <c r="AE173" s="43">
        <v>8421.4</v>
      </c>
      <c r="AF173" s="43">
        <v>3020</v>
      </c>
      <c r="AG173" s="43"/>
      <c r="AH173" s="42">
        <f t="shared" si="67"/>
        <v>11441.4</v>
      </c>
      <c r="AI173" s="41">
        <v>11971.7</v>
      </c>
      <c r="AJ173" s="40">
        <v>12464.6</v>
      </c>
      <c r="AK173" s="49">
        <f>12279.2-5000</f>
        <v>7279.2000000000007</v>
      </c>
      <c r="AL173" s="39">
        <f t="shared" si="54"/>
        <v>7279.2000000000007</v>
      </c>
    </row>
    <row r="174" spans="1:38" s="18" customFormat="1" ht="20.399999999999999" x14ac:dyDescent="0.25">
      <c r="A174" s="46">
        <v>41210</v>
      </c>
      <c r="B174" s="45" t="s">
        <v>128</v>
      </c>
      <c r="C174" s="43">
        <v>14833.3</v>
      </c>
      <c r="D174" s="43">
        <f t="shared" si="68"/>
        <v>1236.1083333333333</v>
      </c>
      <c r="E174" s="43">
        <v>1040.5</v>
      </c>
      <c r="F174" s="43">
        <v>1196.8</v>
      </c>
      <c r="G174" s="43">
        <f t="shared" si="69"/>
        <v>3456.1589000000004</v>
      </c>
      <c r="H174" s="44">
        <f t="shared" si="70"/>
        <v>1.2329224425819817E-2</v>
      </c>
      <c r="I174" s="43">
        <v>1155.9000000000001</v>
      </c>
      <c r="J174" s="43"/>
      <c r="K174" s="43"/>
      <c r="L174" s="43">
        <f t="shared" si="71"/>
        <v>1155.9000000000001</v>
      </c>
      <c r="M174" s="43">
        <v>1155.9000000000001</v>
      </c>
      <c r="N174" s="43">
        <f t="shared" si="72"/>
        <v>0</v>
      </c>
      <c r="O174" s="43">
        <f t="shared" si="73"/>
        <v>100</v>
      </c>
      <c r="P174" s="43">
        <v>3890.6000000000004</v>
      </c>
      <c r="Q174" s="44">
        <f t="shared" si="74"/>
        <v>1.5873760575440099E-2</v>
      </c>
      <c r="R174" s="43">
        <f>6201897*Q174/100</f>
        <v>984.47428091540223</v>
      </c>
      <c r="S174" s="43"/>
      <c r="T174" s="43"/>
      <c r="U174" s="43"/>
      <c r="V174" s="43"/>
      <c r="W174" s="43"/>
      <c r="X174" s="43">
        <f t="shared" si="76"/>
        <v>984.47428091540223</v>
      </c>
      <c r="Y174" s="43">
        <v>1073.067</v>
      </c>
      <c r="Z174" s="43">
        <f t="shared" si="77"/>
        <v>1073.067</v>
      </c>
      <c r="AA174" s="43"/>
      <c r="AB174" s="43"/>
      <c r="AC174" s="43"/>
      <c r="AD174" s="43">
        <f t="shared" si="66"/>
        <v>1073.067</v>
      </c>
      <c r="AE174" s="43">
        <f>1777.3-500</f>
        <v>1277.3</v>
      </c>
      <c r="AF174" s="43"/>
      <c r="AG174" s="43"/>
      <c r="AH174" s="42">
        <f t="shared" si="67"/>
        <v>1277.3</v>
      </c>
      <c r="AI174" s="41">
        <v>1243.5999999999999</v>
      </c>
      <c r="AJ174" s="40">
        <v>1480</v>
      </c>
      <c r="AK174" s="49">
        <f>1786.7-500</f>
        <v>1286.7</v>
      </c>
      <c r="AL174" s="39">
        <f t="shared" si="54"/>
        <v>1286.7</v>
      </c>
    </row>
    <row r="175" spans="1:38" s="18" customFormat="1" ht="20.399999999999999" x14ac:dyDescent="0.25">
      <c r="A175" s="46">
        <v>41221</v>
      </c>
      <c r="B175" s="45" t="s">
        <v>127</v>
      </c>
      <c r="C175" s="43">
        <v>1143774.8</v>
      </c>
      <c r="D175" s="43">
        <f t="shared" si="68"/>
        <v>95314.566666666666</v>
      </c>
      <c r="E175" s="43">
        <v>68711.600000000006</v>
      </c>
      <c r="F175" s="43">
        <v>126225.3</v>
      </c>
      <c r="G175" s="43">
        <f t="shared" si="69"/>
        <v>266499.52840000001</v>
      </c>
      <c r="H175" s="44">
        <f t="shared" si="70"/>
        <v>1.0742505649548988</v>
      </c>
      <c r="I175" s="43">
        <v>144154.9</v>
      </c>
      <c r="J175" s="43"/>
      <c r="K175" s="43"/>
      <c r="L175" s="43">
        <f t="shared" si="71"/>
        <v>144154.9</v>
      </c>
      <c r="M175" s="43">
        <v>110700.6</v>
      </c>
      <c r="N175" s="43">
        <f t="shared" si="72"/>
        <v>-33454.299999999988</v>
      </c>
      <c r="O175" s="43">
        <f t="shared" si="73"/>
        <v>76.792811066429252</v>
      </c>
      <c r="P175" s="43">
        <v>286086.59999999998</v>
      </c>
      <c r="Q175" s="44">
        <f t="shared" si="74"/>
        <v>1.1672416059840902</v>
      </c>
      <c r="R175" s="43">
        <f>6201897*Q175/100</f>
        <v>72391.122144279114</v>
      </c>
      <c r="S175" s="43">
        <v>20000</v>
      </c>
      <c r="T175" s="43"/>
      <c r="U175" s="43"/>
      <c r="V175" s="43"/>
      <c r="W175" s="43"/>
      <c r="X175" s="43">
        <f t="shared" si="76"/>
        <v>92391.122144279114</v>
      </c>
      <c r="Y175" s="43">
        <v>74919.366999999998</v>
      </c>
      <c r="Z175" s="43">
        <f t="shared" si="77"/>
        <v>74919.366999999998</v>
      </c>
      <c r="AA175" s="43"/>
      <c r="AB175" s="43">
        <v>20000</v>
      </c>
      <c r="AC175" s="43"/>
      <c r="AD175" s="43">
        <f t="shared" si="66"/>
        <v>94919.366999999998</v>
      </c>
      <c r="AE175" s="43">
        <f>108774.3-20000</f>
        <v>88774.3</v>
      </c>
      <c r="AF175" s="43"/>
      <c r="AG175" s="43"/>
      <c r="AH175" s="42">
        <f t="shared" si="67"/>
        <v>88774.3</v>
      </c>
      <c r="AI175" s="41">
        <v>88774.3</v>
      </c>
      <c r="AJ175" s="49">
        <v>136272.5</v>
      </c>
      <c r="AK175" s="49">
        <f>108499.416666667-15000</f>
        <v>93499.416666667006</v>
      </c>
      <c r="AL175" s="39">
        <f t="shared" si="54"/>
        <v>93499.416666667006</v>
      </c>
    </row>
    <row r="176" spans="1:38" s="18" customFormat="1" ht="20.399999999999999" x14ac:dyDescent="0.25">
      <c r="A176" s="46">
        <v>41321</v>
      </c>
      <c r="B176" s="45" t="s">
        <v>126</v>
      </c>
      <c r="C176" s="43">
        <v>51646.1</v>
      </c>
      <c r="D176" s="43">
        <f t="shared" si="68"/>
        <v>4303.8416666666662</v>
      </c>
      <c r="E176" s="43">
        <v>3927.5</v>
      </c>
      <c r="F176" s="43">
        <v>4288.2</v>
      </c>
      <c r="G176" s="43">
        <f t="shared" si="69"/>
        <v>12033.541299999999</v>
      </c>
      <c r="H176" s="44">
        <f t="shared" si="70"/>
        <v>4.5274754889915461E-2</v>
      </c>
      <c r="I176" s="43">
        <f>7990664.7*H176/100+500</f>
        <v>4117.7538569999988</v>
      </c>
      <c r="J176" s="43"/>
      <c r="K176" s="43"/>
      <c r="L176" s="43">
        <f t="shared" si="71"/>
        <v>4117.7538569999988</v>
      </c>
      <c r="M176" s="43">
        <v>3695.1</v>
      </c>
      <c r="N176" s="43">
        <f t="shared" si="72"/>
        <v>-422.65385699999888</v>
      </c>
      <c r="O176" s="43">
        <f t="shared" si="73"/>
        <v>89.73581540621943</v>
      </c>
      <c r="P176" s="43">
        <v>13564.7</v>
      </c>
      <c r="Q176" s="44">
        <f t="shared" si="74"/>
        <v>5.5344368497833842E-2</v>
      </c>
      <c r="R176" s="43">
        <f>6201897*Q176/100+300</f>
        <v>3732.4007295361021</v>
      </c>
      <c r="S176" s="43">
        <v>1109.5999999999999</v>
      </c>
      <c r="T176" s="43"/>
      <c r="U176" s="43"/>
      <c r="V176" s="43"/>
      <c r="W176" s="43"/>
      <c r="X176" s="43">
        <f t="shared" si="76"/>
        <v>4842.000729536102</v>
      </c>
      <c r="Y176" s="43">
        <v>4014.9990000000003</v>
      </c>
      <c r="Z176" s="43">
        <f t="shared" si="77"/>
        <v>4014.9990000000003</v>
      </c>
      <c r="AA176" s="43"/>
      <c r="AB176" s="43"/>
      <c r="AC176" s="43">
        <v>306</v>
      </c>
      <c r="AD176" s="43">
        <f t="shared" si="66"/>
        <v>4320.9989999999998</v>
      </c>
      <c r="AE176" s="43">
        <v>4089.2</v>
      </c>
      <c r="AF176" s="43">
        <v>200</v>
      </c>
      <c r="AG176" s="43"/>
      <c r="AH176" s="42">
        <f t="shared" si="67"/>
        <v>4289.2</v>
      </c>
      <c r="AI176" s="41">
        <f>3916.5+572.5</f>
        <v>4489</v>
      </c>
      <c r="AJ176" s="40">
        <v>4717</v>
      </c>
      <c r="AK176" s="49">
        <f>4735.4-400</f>
        <v>4335.3999999999996</v>
      </c>
      <c r="AL176" s="39">
        <f t="shared" si="54"/>
        <v>4335.3999999999996</v>
      </c>
    </row>
    <row r="177" spans="1:38" s="18" customFormat="1" ht="20.399999999999999" x14ac:dyDescent="0.25">
      <c r="A177" s="46">
        <v>41420</v>
      </c>
      <c r="B177" s="45" t="s">
        <v>125</v>
      </c>
      <c r="C177" s="43">
        <v>40045.9</v>
      </c>
      <c r="D177" s="43">
        <f t="shared" si="68"/>
        <v>3337.1583333333333</v>
      </c>
      <c r="E177" s="43">
        <v>2677.1</v>
      </c>
      <c r="F177" s="43">
        <v>2284.6</v>
      </c>
      <c r="G177" s="43">
        <f t="shared" si="69"/>
        <v>9330.6947</v>
      </c>
      <c r="H177" s="44">
        <f t="shared" si="70"/>
        <v>2.734274028230017E-2</v>
      </c>
      <c r="I177" s="43">
        <f>7990664.7*H177/100+300</f>
        <v>2484.8666957504402</v>
      </c>
      <c r="J177" s="43"/>
      <c r="K177" s="43"/>
      <c r="L177" s="43">
        <f t="shared" si="71"/>
        <v>2484.8666957504402</v>
      </c>
      <c r="M177" s="43">
        <v>2484.9</v>
      </c>
      <c r="N177" s="43">
        <f t="shared" si="72"/>
        <v>3.3304249559932941E-2</v>
      </c>
      <c r="O177" s="43">
        <f t="shared" si="73"/>
        <v>100.00134028314747</v>
      </c>
      <c r="P177" s="43">
        <v>10764.5</v>
      </c>
      <c r="Q177" s="44">
        <f t="shared" si="74"/>
        <v>4.391947147337813E-2</v>
      </c>
      <c r="R177" s="43">
        <f>6201897*Q177/100</f>
        <v>2723.8403837232936</v>
      </c>
      <c r="S177" s="43"/>
      <c r="T177" s="43">
        <v>5992.9</v>
      </c>
      <c r="U177" s="43"/>
      <c r="V177" s="43"/>
      <c r="W177" s="43"/>
      <c r="X177" s="43">
        <f t="shared" si="76"/>
        <v>8716.7403837232923</v>
      </c>
      <c r="Y177" s="43">
        <v>4523.3680000000004</v>
      </c>
      <c r="Z177" s="43">
        <f t="shared" si="77"/>
        <v>4523.3680000000004</v>
      </c>
      <c r="AA177" s="43"/>
      <c r="AB177" s="43"/>
      <c r="AC177" s="43"/>
      <c r="AD177" s="43">
        <f t="shared" si="66"/>
        <v>4523.3680000000004</v>
      </c>
      <c r="AE177" s="43">
        <v>5055.2</v>
      </c>
      <c r="AF177" s="43">
        <v>1500</v>
      </c>
      <c r="AG177" s="43"/>
      <c r="AH177" s="42">
        <f t="shared" si="67"/>
        <v>6555.2</v>
      </c>
      <c r="AI177" s="41">
        <f>4523.4+3478.2</f>
        <v>8001.5999999999995</v>
      </c>
      <c r="AJ177" s="40">
        <v>10383.299999999999</v>
      </c>
      <c r="AK177" s="49">
        <v>2835.2</v>
      </c>
      <c r="AL177" s="39">
        <f t="shared" si="54"/>
        <v>2835.2</v>
      </c>
    </row>
    <row r="178" spans="1:38" s="18" customFormat="1" ht="20.399999999999999" x14ac:dyDescent="0.25">
      <c r="A178" s="48">
        <v>41911</v>
      </c>
      <c r="B178" s="45" t="s">
        <v>124</v>
      </c>
      <c r="C178" s="43">
        <v>19945.8</v>
      </c>
      <c r="D178" s="43">
        <f t="shared" si="68"/>
        <v>1662.1499999999999</v>
      </c>
      <c r="E178" s="43"/>
      <c r="F178" s="43"/>
      <c r="G178" s="43">
        <f t="shared" si="69"/>
        <v>4647.3714</v>
      </c>
      <c r="H178" s="44">
        <f t="shared" si="70"/>
        <v>0</v>
      </c>
      <c r="I178" s="43">
        <f>2000+1500</f>
        <v>3500</v>
      </c>
      <c r="J178" s="43"/>
      <c r="K178" s="43"/>
      <c r="L178" s="43">
        <f t="shared" si="71"/>
        <v>3500</v>
      </c>
      <c r="M178" s="43">
        <v>3500</v>
      </c>
      <c r="N178" s="43">
        <f t="shared" si="72"/>
        <v>0</v>
      </c>
      <c r="O178" s="43">
        <f t="shared" si="73"/>
        <v>100</v>
      </c>
      <c r="P178" s="43">
        <v>6000</v>
      </c>
      <c r="Q178" s="44">
        <f t="shared" si="74"/>
        <v>2.4480173611432836E-2</v>
      </c>
      <c r="R178" s="43">
        <f>6201897*Q178/100-1518.2</f>
        <v>3.5152802244738268E-2</v>
      </c>
      <c r="S178" s="43"/>
      <c r="T178" s="43"/>
      <c r="U178" s="43"/>
      <c r="V178" s="43"/>
      <c r="W178" s="43"/>
      <c r="X178" s="43">
        <f t="shared" si="76"/>
        <v>3.5152802244738268E-2</v>
      </c>
      <c r="Y178" s="43"/>
      <c r="Z178" s="43">
        <f t="shared" si="77"/>
        <v>0</v>
      </c>
      <c r="AA178" s="43"/>
      <c r="AB178" s="43"/>
      <c r="AC178" s="43">
        <v>500</v>
      </c>
      <c r="AD178" s="43">
        <f t="shared" si="66"/>
        <v>500</v>
      </c>
      <c r="AE178" s="43"/>
      <c r="AF178" s="43"/>
      <c r="AG178" s="43"/>
      <c r="AH178" s="42">
        <f t="shared" si="67"/>
        <v>0</v>
      </c>
      <c r="AI178" s="41">
        <f>1500</f>
        <v>1500</v>
      </c>
      <c r="AJ178" s="40">
        <v>0</v>
      </c>
      <c r="AK178" s="49">
        <f>10500-1500</f>
        <v>9000</v>
      </c>
      <c r="AL178" s="39">
        <f t="shared" si="54"/>
        <v>9000</v>
      </c>
    </row>
    <row r="179" spans="1:38" s="18" customFormat="1" ht="20.399999999999999" x14ac:dyDescent="0.25">
      <c r="A179" s="46">
        <v>43420</v>
      </c>
      <c r="B179" s="45" t="s">
        <v>123</v>
      </c>
      <c r="C179" s="43">
        <v>106223.4</v>
      </c>
      <c r="D179" s="43">
        <f t="shared" si="68"/>
        <v>8851.9499999999989</v>
      </c>
      <c r="E179" s="43">
        <v>5074.7</v>
      </c>
      <c r="F179" s="43">
        <v>5105.2</v>
      </c>
      <c r="G179" s="43">
        <f t="shared" si="69"/>
        <v>24750.052199999998</v>
      </c>
      <c r="H179" s="44">
        <f t="shared" si="70"/>
        <v>5.6098990628169282E-2</v>
      </c>
      <c r="I179" s="43">
        <v>10323.299999999999</v>
      </c>
      <c r="J179" s="43"/>
      <c r="K179" s="43"/>
      <c r="L179" s="43">
        <f t="shared" si="71"/>
        <v>10323.299999999999</v>
      </c>
      <c r="M179" s="43">
        <v>10056.700000000001</v>
      </c>
      <c r="N179" s="43">
        <f t="shared" si="72"/>
        <v>-266.59999999999854</v>
      </c>
      <c r="O179" s="43">
        <f t="shared" si="73"/>
        <v>97.41749246849362</v>
      </c>
      <c r="P179" s="43">
        <v>27177.7</v>
      </c>
      <c r="Q179" s="44">
        <f t="shared" si="74"/>
        <v>0.1108858023932397</v>
      </c>
      <c r="R179" s="43">
        <f>6201897*Q179/100</f>
        <v>6877.0232520522604</v>
      </c>
      <c r="S179" s="43"/>
      <c r="T179" s="43"/>
      <c r="U179" s="43"/>
      <c r="V179" s="43"/>
      <c r="W179" s="43"/>
      <c r="X179" s="43">
        <f t="shared" si="76"/>
        <v>6877.0232520522604</v>
      </c>
      <c r="Y179" s="43">
        <v>5155.8980000000001</v>
      </c>
      <c r="Z179" s="43">
        <f t="shared" si="77"/>
        <v>5155.8980000000001</v>
      </c>
      <c r="AA179" s="43"/>
      <c r="AB179" s="43"/>
      <c r="AC179" s="43"/>
      <c r="AD179" s="43">
        <f t="shared" si="66"/>
        <v>5155.8980000000001</v>
      </c>
      <c r="AE179" s="43">
        <v>7078.4</v>
      </c>
      <c r="AF179" s="43"/>
      <c r="AG179" s="43"/>
      <c r="AH179" s="42">
        <f t="shared" si="67"/>
        <v>7078.4</v>
      </c>
      <c r="AI179" s="41">
        <v>7078.4</v>
      </c>
      <c r="AJ179" s="40">
        <v>10539.8</v>
      </c>
      <c r="AK179" s="49">
        <f>18787.4-8000-3000</f>
        <v>7787.4000000000015</v>
      </c>
      <c r="AL179" s="39">
        <f t="shared" si="54"/>
        <v>7787.4000000000015</v>
      </c>
    </row>
    <row r="180" spans="1:38" s="18" customFormat="1" ht="20.399999999999999" x14ac:dyDescent="0.25">
      <c r="A180" s="46">
        <v>43110</v>
      </c>
      <c r="B180" s="45" t="s">
        <v>122</v>
      </c>
      <c r="C180" s="43">
        <v>120567.8</v>
      </c>
      <c r="D180" s="43">
        <f t="shared" si="68"/>
        <v>10047.316666666668</v>
      </c>
      <c r="E180" s="43">
        <v>9707.9</v>
      </c>
      <c r="F180" s="43">
        <v>9406.1</v>
      </c>
      <c r="G180" s="43">
        <f t="shared" si="69"/>
        <v>28092.297400000003</v>
      </c>
      <c r="H180" s="44">
        <f t="shared" si="70"/>
        <v>0.10533267584817413</v>
      </c>
      <c r="I180" s="43">
        <v>10299.1</v>
      </c>
      <c r="J180" s="43"/>
      <c r="K180" s="43"/>
      <c r="L180" s="43">
        <f t="shared" si="71"/>
        <v>10299.1</v>
      </c>
      <c r="M180" s="43">
        <v>10299.1</v>
      </c>
      <c r="N180" s="43">
        <f t="shared" si="72"/>
        <v>0</v>
      </c>
      <c r="O180" s="43">
        <f t="shared" si="73"/>
        <v>100</v>
      </c>
      <c r="P180" s="43">
        <v>30249.5</v>
      </c>
      <c r="Q180" s="44">
        <f t="shared" si="74"/>
        <v>0.12341883527650627</v>
      </c>
      <c r="R180" s="43">
        <f>6201897*Q180/100+2300</f>
        <v>9954.3090424485854</v>
      </c>
      <c r="S180" s="43"/>
      <c r="T180" s="43"/>
      <c r="U180" s="43"/>
      <c r="V180" s="43"/>
      <c r="W180" s="43"/>
      <c r="X180" s="43">
        <f t="shared" si="76"/>
        <v>9954.3090424485854</v>
      </c>
      <c r="Y180" s="43">
        <v>2393.931</v>
      </c>
      <c r="Z180" s="43">
        <f t="shared" si="77"/>
        <v>2393.931</v>
      </c>
      <c r="AA180" s="43"/>
      <c r="AB180" s="43"/>
      <c r="AC180" s="43"/>
      <c r="AD180" s="43">
        <f t="shared" si="66"/>
        <v>2393.931</v>
      </c>
      <c r="AE180" s="43">
        <f>17864.4-7000</f>
        <v>10864.400000000001</v>
      </c>
      <c r="AF180" s="43">
        <f>AD180+16866.9-AE180</f>
        <v>8396.4310000000005</v>
      </c>
      <c r="AG180" s="43"/>
      <c r="AH180" s="42">
        <f t="shared" si="67"/>
        <v>19260.831000000002</v>
      </c>
      <c r="AI180" s="41">
        <f>10047.3+70000</f>
        <v>80047.3</v>
      </c>
      <c r="AJ180" s="40">
        <v>13528.8</v>
      </c>
      <c r="AK180" s="49">
        <v>8900</v>
      </c>
      <c r="AL180" s="39">
        <f t="shared" si="54"/>
        <v>8900</v>
      </c>
    </row>
    <row r="181" spans="1:38" s="18" customFormat="1" ht="20.399999999999999" x14ac:dyDescent="0.25">
      <c r="A181" s="46">
        <v>43120</v>
      </c>
      <c r="B181" s="45" t="s">
        <v>121</v>
      </c>
      <c r="C181" s="43">
        <v>10750</v>
      </c>
      <c r="D181" s="43">
        <f t="shared" si="68"/>
        <v>895.83333333333337</v>
      </c>
      <c r="E181" s="43"/>
      <c r="F181" s="43"/>
      <c r="G181" s="43">
        <f t="shared" si="69"/>
        <v>2504.75</v>
      </c>
      <c r="H181" s="44">
        <f t="shared" si="70"/>
        <v>0</v>
      </c>
      <c r="I181" s="43">
        <f>7990664.7*H181/100+895.8</f>
        <v>895.8</v>
      </c>
      <c r="J181" s="43"/>
      <c r="K181" s="43"/>
      <c r="L181" s="43">
        <f t="shared" si="71"/>
        <v>895.8</v>
      </c>
      <c r="M181" s="47"/>
      <c r="N181" s="43">
        <f t="shared" si="72"/>
        <v>-895.8</v>
      </c>
      <c r="O181" s="43">
        <f t="shared" si="73"/>
        <v>0</v>
      </c>
      <c r="P181" s="43">
        <v>3235.8</v>
      </c>
      <c r="Q181" s="44">
        <f t="shared" si="74"/>
        <v>1.3202157628645728E-2</v>
      </c>
      <c r="R181" s="43">
        <f>6201897*Q181/100</f>
        <v>818.78421790625055</v>
      </c>
      <c r="S181" s="43"/>
      <c r="T181" s="43"/>
      <c r="U181" s="43"/>
      <c r="V181" s="43"/>
      <c r="W181" s="43"/>
      <c r="X181" s="43">
        <f t="shared" si="76"/>
        <v>818.78421790625055</v>
      </c>
      <c r="Y181" s="43">
        <v>0</v>
      </c>
      <c r="Z181" s="43">
        <f t="shared" si="77"/>
        <v>0</v>
      </c>
      <c r="AA181" s="43"/>
      <c r="AB181" s="43"/>
      <c r="AC181" s="43"/>
      <c r="AD181" s="43">
        <f t="shared" si="66"/>
        <v>0</v>
      </c>
      <c r="AE181" s="43"/>
      <c r="AF181" s="43"/>
      <c r="AG181" s="43"/>
      <c r="AH181" s="42">
        <f t="shared" si="67"/>
        <v>0</v>
      </c>
      <c r="AI181" s="41"/>
      <c r="AJ181" s="40">
        <v>0</v>
      </c>
      <c r="AK181" s="49"/>
      <c r="AL181" s="39">
        <f t="shared" si="54"/>
        <v>0</v>
      </c>
    </row>
    <row r="182" spans="1:38" s="18" customFormat="1" ht="20.399999999999999" x14ac:dyDescent="0.25">
      <c r="A182" s="46">
        <v>43210</v>
      </c>
      <c r="B182" s="45" t="s">
        <v>120</v>
      </c>
      <c r="C182" s="43">
        <v>9907.7999999999993</v>
      </c>
      <c r="D182" s="43">
        <f t="shared" si="68"/>
        <v>825.65</v>
      </c>
      <c r="E182" s="43">
        <v>786.8</v>
      </c>
      <c r="F182" s="43">
        <v>960.3</v>
      </c>
      <c r="G182" s="43">
        <f t="shared" si="69"/>
        <v>2308.5173999999997</v>
      </c>
      <c r="H182" s="44">
        <f t="shared" si="70"/>
        <v>9.6278496376658463E-3</v>
      </c>
      <c r="I182" s="43">
        <v>448</v>
      </c>
      <c r="J182" s="43"/>
      <c r="K182" s="43"/>
      <c r="L182" s="43">
        <f t="shared" si="71"/>
        <v>448</v>
      </c>
      <c r="M182" s="43">
        <v>448</v>
      </c>
      <c r="N182" s="43">
        <f t="shared" si="72"/>
        <v>0</v>
      </c>
      <c r="O182" s="43">
        <f t="shared" si="73"/>
        <v>100</v>
      </c>
      <c r="P182" s="43">
        <v>2578.7999999999997</v>
      </c>
      <c r="Q182" s="44">
        <f t="shared" si="74"/>
        <v>1.0521578618193831E-2</v>
      </c>
      <c r="R182" s="43">
        <f>6201897*Q182/100</f>
        <v>652.53746867440464</v>
      </c>
      <c r="S182" s="43"/>
      <c r="T182" s="43">
        <v>334.1</v>
      </c>
      <c r="U182" s="43"/>
      <c r="V182" s="43"/>
      <c r="W182" s="43"/>
      <c r="X182" s="43">
        <f t="shared" si="76"/>
        <v>986.63746867440466</v>
      </c>
      <c r="Y182" s="43">
        <v>795.29900000000009</v>
      </c>
      <c r="Z182" s="43">
        <f t="shared" si="77"/>
        <v>795.29900000000009</v>
      </c>
      <c r="AA182" s="43"/>
      <c r="AB182" s="43"/>
      <c r="AC182" s="43"/>
      <c r="AD182" s="43">
        <f t="shared" si="66"/>
        <v>795.29900000000009</v>
      </c>
      <c r="AE182" s="43">
        <v>955</v>
      </c>
      <c r="AF182" s="43"/>
      <c r="AG182" s="43"/>
      <c r="AH182" s="42">
        <f t="shared" si="67"/>
        <v>955</v>
      </c>
      <c r="AI182" s="41">
        <v>858.4</v>
      </c>
      <c r="AJ182" s="40">
        <v>912.7</v>
      </c>
      <c r="AK182" s="49">
        <f>1133.5-300</f>
        <v>833.5</v>
      </c>
      <c r="AL182" s="39">
        <f t="shared" si="54"/>
        <v>833.5</v>
      </c>
    </row>
    <row r="183" spans="1:38" s="18" customFormat="1" ht="20.399999999999999" x14ac:dyDescent="0.25">
      <c r="A183" s="46">
        <v>43220</v>
      </c>
      <c r="B183" s="45" t="s">
        <v>119</v>
      </c>
      <c r="C183" s="43">
        <v>1856419.8</v>
      </c>
      <c r="D183" s="43">
        <f t="shared" si="68"/>
        <v>154701.65</v>
      </c>
      <c r="E183" s="43">
        <v>107464.9</v>
      </c>
      <c r="F183" s="43">
        <v>107391.6</v>
      </c>
      <c r="G183" s="43">
        <f t="shared" si="69"/>
        <v>432545.81340000004</v>
      </c>
      <c r="H183" s="44">
        <f t="shared" si="70"/>
        <v>1.1840227094471707</v>
      </c>
      <c r="I183" s="43">
        <v>49178</v>
      </c>
      <c r="J183" s="43"/>
      <c r="K183" s="43"/>
      <c r="L183" s="43">
        <f t="shared" si="71"/>
        <v>49178</v>
      </c>
      <c r="M183" s="43">
        <v>46286.2</v>
      </c>
      <c r="N183" s="43">
        <f t="shared" si="72"/>
        <v>-2891.8000000000029</v>
      </c>
      <c r="O183" s="43">
        <f t="shared" si="73"/>
        <v>94.119728333807799</v>
      </c>
      <c r="P183" s="43">
        <v>747211</v>
      </c>
      <c r="Q183" s="44">
        <f t="shared" si="74"/>
        <v>3.0486425007287234</v>
      </c>
      <c r="R183" s="43">
        <f>6201897*Q183/100-39000</f>
        <v>150073.66779341965</v>
      </c>
      <c r="S183" s="43"/>
      <c r="T183" s="43">
        <v>100000</v>
      </c>
      <c r="U183" s="43"/>
      <c r="V183" s="43"/>
      <c r="W183" s="43"/>
      <c r="X183" s="43">
        <f t="shared" si="76"/>
        <v>250073.66779341965</v>
      </c>
      <c r="Y183" s="43">
        <v>10661.966</v>
      </c>
      <c r="Z183" s="43">
        <f t="shared" si="77"/>
        <v>10661.966</v>
      </c>
      <c r="AA183" s="43"/>
      <c r="AB183" s="43"/>
      <c r="AC183" s="43">
        <v>200000</v>
      </c>
      <c r="AD183" s="43">
        <f t="shared" si="66"/>
        <v>210661.96600000001</v>
      </c>
      <c r="AE183" s="43">
        <v>14793.9</v>
      </c>
      <c r="AF183" s="43">
        <f>100000+100000</f>
        <v>200000</v>
      </c>
      <c r="AG183" s="43"/>
      <c r="AH183" s="42">
        <f t="shared" si="67"/>
        <v>214793.9</v>
      </c>
      <c r="AI183" s="41">
        <f>120617+100000</f>
        <v>220617</v>
      </c>
      <c r="AJ183" s="40">
        <v>173560</v>
      </c>
      <c r="AK183" s="49">
        <f>110000-94000</f>
        <v>16000</v>
      </c>
      <c r="AL183" s="39">
        <f t="shared" si="54"/>
        <v>16000</v>
      </c>
    </row>
    <row r="184" spans="1:38" s="18" customFormat="1" ht="12.75" customHeight="1" x14ac:dyDescent="0.25">
      <c r="A184" s="46">
        <v>43320</v>
      </c>
      <c r="B184" s="45" t="s">
        <v>118</v>
      </c>
      <c r="C184" s="43">
        <v>95444.1</v>
      </c>
      <c r="D184" s="43">
        <f t="shared" si="68"/>
        <v>7953.6750000000002</v>
      </c>
      <c r="E184" s="43">
        <v>2075.6999999999998</v>
      </c>
      <c r="F184" s="43">
        <v>2297.1999999999998</v>
      </c>
      <c r="G184" s="43">
        <f t="shared" si="69"/>
        <v>22238.475300000002</v>
      </c>
      <c r="H184" s="44">
        <f t="shared" si="70"/>
        <v>2.4098004510645629E-2</v>
      </c>
      <c r="I184" s="43">
        <v>12816.6</v>
      </c>
      <c r="J184" s="43"/>
      <c r="K184" s="43"/>
      <c r="L184" s="43">
        <f t="shared" si="71"/>
        <v>12816.6</v>
      </c>
      <c r="M184" s="43">
        <v>11531.9</v>
      </c>
      <c r="N184" s="43">
        <f t="shared" si="72"/>
        <v>-1284.7000000000007</v>
      </c>
      <c r="O184" s="43">
        <f t="shared" si="73"/>
        <v>89.976280760888216</v>
      </c>
      <c r="P184" s="43">
        <v>25303.5</v>
      </c>
      <c r="Q184" s="44">
        <f t="shared" si="74"/>
        <v>0.10323901216281514</v>
      </c>
      <c r="R184" s="43">
        <f>6201897*Q184/100</f>
        <v>6402.7771981552678</v>
      </c>
      <c r="S184" s="43"/>
      <c r="T184" s="43"/>
      <c r="U184" s="43"/>
      <c r="V184" s="43"/>
      <c r="W184" s="43"/>
      <c r="X184" s="43">
        <f t="shared" si="76"/>
        <v>6402.7771981552678</v>
      </c>
      <c r="Y184" s="43">
        <v>2241.6659999999997</v>
      </c>
      <c r="Z184" s="43">
        <f t="shared" si="77"/>
        <v>2241.6659999999997</v>
      </c>
      <c r="AA184" s="43"/>
      <c r="AB184" s="43"/>
      <c r="AC184" s="43">
        <v>9000</v>
      </c>
      <c r="AD184" s="43">
        <f t="shared" si="66"/>
        <v>11241.665999999999</v>
      </c>
      <c r="AE184" s="43">
        <f>3924.5-1000</f>
        <v>2924.5</v>
      </c>
      <c r="AF184" s="43">
        <v>1111.7</v>
      </c>
      <c r="AG184" s="42">
        <v>13000</v>
      </c>
      <c r="AH184" s="42">
        <f t="shared" si="67"/>
        <v>17036.2</v>
      </c>
      <c r="AI184" s="41">
        <v>14859</v>
      </c>
      <c r="AJ184" s="40">
        <v>17734.8</v>
      </c>
      <c r="AK184" s="49">
        <v>10330.5</v>
      </c>
      <c r="AL184" s="39">
        <f t="shared" si="54"/>
        <v>10330.5</v>
      </c>
    </row>
    <row r="185" spans="1:38" s="18" customFormat="1" ht="20.399999999999999" x14ac:dyDescent="0.25">
      <c r="A185" s="46">
        <v>43510</v>
      </c>
      <c r="B185" s="45" t="s">
        <v>117</v>
      </c>
      <c r="C185" s="43">
        <v>17037.8</v>
      </c>
      <c r="D185" s="43">
        <f t="shared" si="68"/>
        <v>1419.8166666666666</v>
      </c>
      <c r="E185" s="43">
        <v>861</v>
      </c>
      <c r="F185" s="43">
        <v>1254.5999999999999</v>
      </c>
      <c r="G185" s="43">
        <f t="shared" si="69"/>
        <v>3969.8073999999997</v>
      </c>
      <c r="H185" s="44">
        <f t="shared" si="70"/>
        <v>1.165856487519081E-2</v>
      </c>
      <c r="I185" s="43">
        <v>1429.4</v>
      </c>
      <c r="J185" s="43"/>
      <c r="K185" s="43"/>
      <c r="L185" s="43">
        <f t="shared" si="71"/>
        <v>1429.4</v>
      </c>
      <c r="M185" s="43">
        <v>1429.4</v>
      </c>
      <c r="N185" s="43">
        <f t="shared" si="72"/>
        <v>0</v>
      </c>
      <c r="O185" s="43">
        <f t="shared" si="73"/>
        <v>100</v>
      </c>
      <c r="P185" s="43">
        <v>4548.8</v>
      </c>
      <c r="Q185" s="44">
        <f t="shared" si="74"/>
        <v>1.8559235620614283E-2</v>
      </c>
      <c r="R185" s="43">
        <f>6201897*Q185/100+300</f>
        <v>1451.0246771778086</v>
      </c>
      <c r="S185" s="43"/>
      <c r="T185" s="43"/>
      <c r="U185" s="43"/>
      <c r="V185" s="43"/>
      <c r="W185" s="43"/>
      <c r="X185" s="43">
        <f t="shared" si="76"/>
        <v>1451.0246771778086</v>
      </c>
      <c r="Y185" s="43">
        <v>959.96600000000001</v>
      </c>
      <c r="Z185" s="43">
        <f t="shared" si="77"/>
        <v>959.96600000000001</v>
      </c>
      <c r="AA185" s="43"/>
      <c r="AB185" s="43"/>
      <c r="AC185" s="43"/>
      <c r="AD185" s="43">
        <f t="shared" si="66"/>
        <v>959.96600000000001</v>
      </c>
      <c r="AE185" s="43">
        <f>1833.8-300</f>
        <v>1533.8</v>
      </c>
      <c r="AF185" s="43"/>
      <c r="AG185" s="43"/>
      <c r="AH185" s="42">
        <f t="shared" si="67"/>
        <v>1533.8</v>
      </c>
      <c r="AI185" s="41">
        <v>979.8</v>
      </c>
      <c r="AJ185" s="40">
        <v>1210.7</v>
      </c>
      <c r="AK185" s="49">
        <v>491.5</v>
      </c>
      <c r="AL185" s="39">
        <f t="shared" si="54"/>
        <v>491.5</v>
      </c>
    </row>
    <row r="186" spans="1:38" s="18" customFormat="1" ht="20.399999999999999" x14ac:dyDescent="0.25">
      <c r="A186" s="46">
        <v>43520</v>
      </c>
      <c r="B186" s="45" t="s">
        <v>116</v>
      </c>
      <c r="C186" s="43">
        <v>39322.199999999997</v>
      </c>
      <c r="D186" s="43">
        <f t="shared" si="68"/>
        <v>3276.85</v>
      </c>
      <c r="E186" s="43">
        <v>2505</v>
      </c>
      <c r="F186" s="43">
        <v>3380</v>
      </c>
      <c r="G186" s="43">
        <f t="shared" si="69"/>
        <v>9162.0725999999995</v>
      </c>
      <c r="H186" s="44">
        <f t="shared" si="70"/>
        <v>3.2430825435100175E-2</v>
      </c>
      <c r="I186" s="43">
        <v>2987.8</v>
      </c>
      <c r="J186" s="43"/>
      <c r="K186" s="43"/>
      <c r="L186" s="43">
        <f t="shared" si="71"/>
        <v>2987.8</v>
      </c>
      <c r="M186" s="43">
        <v>2987.8</v>
      </c>
      <c r="N186" s="43">
        <f t="shared" si="72"/>
        <v>0</v>
      </c>
      <c r="O186" s="43">
        <f t="shared" si="73"/>
        <v>100</v>
      </c>
      <c r="P186" s="43">
        <v>10353</v>
      </c>
      <c r="Q186" s="44">
        <f t="shared" si="74"/>
        <v>4.224053956652736E-2</v>
      </c>
      <c r="R186" s="43">
        <f>6201897*Q186/100+400</f>
        <v>3019.7147561602733</v>
      </c>
      <c r="S186" s="43"/>
      <c r="T186" s="43"/>
      <c r="U186" s="43"/>
      <c r="V186" s="43"/>
      <c r="W186" s="43"/>
      <c r="X186" s="43">
        <f t="shared" si="76"/>
        <v>3019.7147561602733</v>
      </c>
      <c r="Y186" s="43">
        <v>2823.9990000000003</v>
      </c>
      <c r="Z186" s="43">
        <f t="shared" si="77"/>
        <v>2823.9990000000003</v>
      </c>
      <c r="AA186" s="43"/>
      <c r="AB186" s="43"/>
      <c r="AC186" s="43"/>
      <c r="AD186" s="43">
        <f t="shared" si="66"/>
        <v>2823.9990000000003</v>
      </c>
      <c r="AE186" s="43">
        <f>4509.3-1000</f>
        <v>3509.3</v>
      </c>
      <c r="AF186" s="43">
        <v>550.4</v>
      </c>
      <c r="AG186" s="43"/>
      <c r="AH186" s="42">
        <f t="shared" si="67"/>
        <v>4059.7000000000003</v>
      </c>
      <c r="AI186" s="41">
        <v>3047</v>
      </c>
      <c r="AJ186" s="40">
        <v>3214.1</v>
      </c>
      <c r="AK186" s="49">
        <f>4529.2-1500</f>
        <v>3029.2</v>
      </c>
      <c r="AL186" s="39">
        <f t="shared" si="54"/>
        <v>3029.2</v>
      </c>
    </row>
    <row r="187" spans="1:38" s="18" customFormat="1" ht="20.399999999999999" x14ac:dyDescent="0.25">
      <c r="A187" s="46">
        <v>43620</v>
      </c>
      <c r="B187" s="45" t="s">
        <v>115</v>
      </c>
      <c r="C187" s="43">
        <v>29369.9</v>
      </c>
      <c r="D187" s="43">
        <f t="shared" si="68"/>
        <v>2447.4916666666668</v>
      </c>
      <c r="E187" s="43">
        <v>2197.9</v>
      </c>
      <c r="F187" s="43">
        <v>2190.9</v>
      </c>
      <c r="G187" s="43">
        <f t="shared" si="69"/>
        <v>6843.1867000000002</v>
      </c>
      <c r="H187" s="44">
        <f t="shared" si="70"/>
        <v>2.4185625602305461E-2</v>
      </c>
      <c r="I187" s="43">
        <v>2209.3000000000002</v>
      </c>
      <c r="J187" s="43"/>
      <c r="K187" s="43"/>
      <c r="L187" s="43">
        <f t="shared" si="71"/>
        <v>2209.3000000000002</v>
      </c>
      <c r="M187" s="43">
        <v>2093.1</v>
      </c>
      <c r="N187" s="43">
        <f t="shared" si="72"/>
        <v>-116.20000000000027</v>
      </c>
      <c r="O187" s="43">
        <f t="shared" si="73"/>
        <v>94.740415516226847</v>
      </c>
      <c r="P187" s="43">
        <v>7949.9</v>
      </c>
      <c r="Q187" s="44">
        <f t="shared" si="74"/>
        <v>3.243582203225498E-2</v>
      </c>
      <c r="R187" s="43">
        <f>6201897*Q187/100</f>
        <v>2011.6362735437606</v>
      </c>
      <c r="S187" s="43"/>
      <c r="T187" s="43"/>
      <c r="U187" s="43"/>
      <c r="V187" s="43"/>
      <c r="W187" s="43"/>
      <c r="X187" s="43">
        <f t="shared" si="76"/>
        <v>2011.6362735437606</v>
      </c>
      <c r="Y187" s="43">
        <v>1766.0639999999999</v>
      </c>
      <c r="Z187" s="43">
        <f t="shared" si="77"/>
        <v>1766.0639999999999</v>
      </c>
      <c r="AA187" s="43"/>
      <c r="AB187" s="43"/>
      <c r="AC187" s="43"/>
      <c r="AD187" s="43">
        <f t="shared" si="66"/>
        <v>1766.0639999999999</v>
      </c>
      <c r="AE187" s="43">
        <v>2050</v>
      </c>
      <c r="AF187" s="43">
        <f>1423.9+232.4</f>
        <v>1656.3000000000002</v>
      </c>
      <c r="AG187" s="43"/>
      <c r="AH187" s="42">
        <f t="shared" si="67"/>
        <v>3706.3</v>
      </c>
      <c r="AI187" s="41">
        <v>2307.5</v>
      </c>
      <c r="AJ187" s="40">
        <v>3751.6</v>
      </c>
      <c r="AK187" s="49">
        <v>1568.1</v>
      </c>
      <c r="AL187" s="39">
        <f t="shared" si="54"/>
        <v>1568.1</v>
      </c>
    </row>
    <row r="188" spans="1:38" s="18" customFormat="1" ht="20.399999999999999" x14ac:dyDescent="0.25">
      <c r="A188" s="46">
        <v>43821</v>
      </c>
      <c r="B188" s="45" t="s">
        <v>114</v>
      </c>
      <c r="C188" s="43">
        <v>11196</v>
      </c>
      <c r="D188" s="43">
        <f t="shared" si="68"/>
        <v>933</v>
      </c>
      <c r="E188" s="43">
        <v>857.8</v>
      </c>
      <c r="F188" s="43">
        <v>959.4</v>
      </c>
      <c r="G188" s="43">
        <f t="shared" si="69"/>
        <v>2608.6680000000001</v>
      </c>
      <c r="H188" s="44">
        <f t="shared" si="70"/>
        <v>1.0014153947436539E-2</v>
      </c>
      <c r="I188" s="43">
        <v>933.4</v>
      </c>
      <c r="J188" s="43"/>
      <c r="K188" s="43"/>
      <c r="L188" s="43">
        <f t="shared" si="71"/>
        <v>933.4</v>
      </c>
      <c r="M188" s="43">
        <v>933.4</v>
      </c>
      <c r="N188" s="43">
        <f t="shared" si="72"/>
        <v>0</v>
      </c>
      <c r="O188" s="43">
        <f t="shared" si="73"/>
        <v>100</v>
      </c>
      <c r="P188" s="43">
        <v>4050.5000000000005</v>
      </c>
      <c r="Q188" s="44">
        <f t="shared" si="74"/>
        <v>1.6526157202184786E-2</v>
      </c>
      <c r="R188" s="43">
        <f>6201897*Q188/100</f>
        <v>1024.9352477375821</v>
      </c>
      <c r="S188" s="43">
        <f>908-908</f>
        <v>0</v>
      </c>
      <c r="T188" s="43"/>
      <c r="U188" s="43"/>
      <c r="V188" s="43">
        <v>908</v>
      </c>
      <c r="W188" s="43"/>
      <c r="X188" s="43">
        <f t="shared" si="76"/>
        <v>1932.9352477375821</v>
      </c>
      <c r="Y188" s="43">
        <v>1246.1310000000001</v>
      </c>
      <c r="Z188" s="43">
        <f t="shared" si="77"/>
        <v>1246.1310000000001</v>
      </c>
      <c r="AA188" s="43"/>
      <c r="AB188" s="43"/>
      <c r="AC188" s="43"/>
      <c r="AD188" s="43">
        <f t="shared" si="66"/>
        <v>1246.1310000000001</v>
      </c>
      <c r="AE188" s="43">
        <v>973.4</v>
      </c>
      <c r="AF188" s="43"/>
      <c r="AG188" s="43"/>
      <c r="AH188" s="42">
        <f t="shared" si="67"/>
        <v>973.4</v>
      </c>
      <c r="AI188" s="41">
        <f>578+1023.1</f>
        <v>1601.1</v>
      </c>
      <c r="AJ188" s="49">
        <v>216.5</v>
      </c>
      <c r="AK188" s="49">
        <v>221.5</v>
      </c>
      <c r="AL188" s="39">
        <f t="shared" si="54"/>
        <v>221.5</v>
      </c>
    </row>
    <row r="189" spans="1:38" s="18" customFormat="1" ht="20.399999999999999" x14ac:dyDescent="0.25">
      <c r="A189" s="48">
        <v>43910</v>
      </c>
      <c r="B189" s="45" t="s">
        <v>113</v>
      </c>
      <c r="C189" s="43">
        <v>823076.4</v>
      </c>
      <c r="D189" s="43">
        <f t="shared" si="68"/>
        <v>68589.7</v>
      </c>
      <c r="E189" s="43"/>
      <c r="F189" s="43"/>
      <c r="G189" s="43">
        <f t="shared" si="69"/>
        <v>191776.80120000002</v>
      </c>
      <c r="H189" s="44">
        <f t="shared" si="70"/>
        <v>0</v>
      </c>
      <c r="I189" s="43">
        <f>30000+100048.3</f>
        <v>130048.3</v>
      </c>
      <c r="J189" s="43"/>
      <c r="K189" s="43"/>
      <c r="L189" s="43">
        <f t="shared" si="71"/>
        <v>130048.3</v>
      </c>
      <c r="M189" s="43">
        <v>130048.3</v>
      </c>
      <c r="N189" s="43">
        <f t="shared" si="72"/>
        <v>0</v>
      </c>
      <c r="O189" s="43">
        <f t="shared" si="73"/>
        <v>100</v>
      </c>
      <c r="P189" s="43">
        <v>69499.999999999985</v>
      </c>
      <c r="Q189" s="44">
        <f t="shared" si="74"/>
        <v>0.28356201099909695</v>
      </c>
      <c r="R189" s="43">
        <f>6201897*Q189/100-17586.2</f>
        <v>2.3853292663261527E-2</v>
      </c>
      <c r="S189" s="43"/>
      <c r="T189" s="43"/>
      <c r="U189" s="43">
        <v>162753.60000000001</v>
      </c>
      <c r="V189" s="43"/>
      <c r="W189" s="43"/>
      <c r="X189" s="43">
        <f t="shared" si="76"/>
        <v>162753.62385329267</v>
      </c>
      <c r="Y189" s="43"/>
      <c r="Z189" s="43">
        <f t="shared" si="77"/>
        <v>0</v>
      </c>
      <c r="AA189" s="43"/>
      <c r="AB189" s="43"/>
      <c r="AC189" s="43">
        <v>147661.6</v>
      </c>
      <c r="AD189" s="43">
        <f t="shared" si="66"/>
        <v>147661.6</v>
      </c>
      <c r="AE189" s="43"/>
      <c r="AF189" s="43"/>
      <c r="AG189" s="43"/>
      <c r="AH189" s="42">
        <f t="shared" si="67"/>
        <v>0</v>
      </c>
      <c r="AI189" s="41">
        <f>54598</f>
        <v>54598</v>
      </c>
      <c r="AJ189" s="40">
        <v>0</v>
      </c>
      <c r="AK189" s="49">
        <f>78173.9-13000</f>
        <v>65173.899999999994</v>
      </c>
      <c r="AL189" s="39">
        <f t="shared" si="54"/>
        <v>65173.899999999994</v>
      </c>
    </row>
    <row r="190" spans="1:38" s="18" customFormat="1" ht="20.399999999999999" x14ac:dyDescent="0.25">
      <c r="A190" s="46">
        <v>44110</v>
      </c>
      <c r="B190" s="45" t="s">
        <v>112</v>
      </c>
      <c r="C190" s="43">
        <v>15492.6</v>
      </c>
      <c r="D190" s="43">
        <f t="shared" si="68"/>
        <v>1291.05</v>
      </c>
      <c r="E190" s="43">
        <v>1013</v>
      </c>
      <c r="F190" s="43">
        <v>1577.4</v>
      </c>
      <c r="G190" s="43">
        <f t="shared" si="69"/>
        <v>3609.7758000000003</v>
      </c>
      <c r="H190" s="44">
        <f t="shared" si="70"/>
        <v>1.4275073951925826E-2</v>
      </c>
      <c r="I190" s="43">
        <v>969.7</v>
      </c>
      <c r="J190" s="43"/>
      <c r="K190" s="43"/>
      <c r="L190" s="43">
        <f t="shared" si="71"/>
        <v>969.7</v>
      </c>
      <c r="M190" s="43">
        <v>655.6</v>
      </c>
      <c r="N190" s="43">
        <f t="shared" si="72"/>
        <v>-314.10000000000002</v>
      </c>
      <c r="O190" s="43">
        <f t="shared" si="73"/>
        <v>67.608538723316485</v>
      </c>
      <c r="P190" s="43">
        <v>4047.5000000000005</v>
      </c>
      <c r="Q190" s="44">
        <f t="shared" si="74"/>
        <v>1.651391711537907E-2</v>
      </c>
      <c r="R190" s="43">
        <f>6201897*Q190/100</f>
        <v>1024.1761301611812</v>
      </c>
      <c r="S190" s="43"/>
      <c r="T190" s="43"/>
      <c r="U190" s="43"/>
      <c r="V190" s="43"/>
      <c r="W190" s="43"/>
      <c r="X190" s="43">
        <f t="shared" si="76"/>
        <v>1024.1761301611812</v>
      </c>
      <c r="Y190" s="43">
        <v>1247.5340000000001</v>
      </c>
      <c r="Z190" s="43">
        <f t="shared" si="77"/>
        <v>1247.5340000000001</v>
      </c>
      <c r="AA190" s="43"/>
      <c r="AB190" s="43"/>
      <c r="AC190" s="43">
        <v>457.3</v>
      </c>
      <c r="AD190" s="43">
        <f t="shared" si="66"/>
        <v>1704.8340000000001</v>
      </c>
      <c r="AE190" s="43">
        <v>1570.4</v>
      </c>
      <c r="AF190" s="43"/>
      <c r="AG190" s="43"/>
      <c r="AH190" s="42">
        <f t="shared" si="67"/>
        <v>1570.4</v>
      </c>
      <c r="AI190" s="41">
        <v>1349.7</v>
      </c>
      <c r="AJ190" s="40">
        <v>2001</v>
      </c>
      <c r="AK190" s="49">
        <f>1411.5-200</f>
        <v>1211.5</v>
      </c>
      <c r="AL190" s="39">
        <f t="shared" si="54"/>
        <v>1211.5</v>
      </c>
    </row>
    <row r="191" spans="1:38" s="18" customFormat="1" ht="20.399999999999999" x14ac:dyDescent="0.25">
      <c r="A191" s="46">
        <v>44121</v>
      </c>
      <c r="B191" s="45" t="s">
        <v>111</v>
      </c>
      <c r="C191" s="43">
        <f>696592.3+447232.5</f>
        <v>1143824.8</v>
      </c>
      <c r="D191" s="43">
        <f t="shared" si="68"/>
        <v>95318.733333333337</v>
      </c>
      <c r="E191" s="43">
        <v>78415.600000000006</v>
      </c>
      <c r="F191" s="43">
        <v>127085.3</v>
      </c>
      <c r="G191" s="43">
        <f t="shared" si="69"/>
        <v>266511.17840000003</v>
      </c>
      <c r="H191" s="44">
        <f t="shared" si="70"/>
        <v>1.1324662386841082</v>
      </c>
      <c r="I191" s="43">
        <f>7990664.7*H191/100</f>
        <v>90491.579973948785</v>
      </c>
      <c r="J191" s="43"/>
      <c r="K191" s="43"/>
      <c r="L191" s="43">
        <f t="shared" si="71"/>
        <v>90491.579973948785</v>
      </c>
      <c r="M191" s="43">
        <v>90491.6</v>
      </c>
      <c r="N191" s="43">
        <f t="shared" si="72"/>
        <v>2.0026051221066155E-2</v>
      </c>
      <c r="O191" s="43">
        <f t="shared" si="73"/>
        <v>100.00002213029238</v>
      </c>
      <c r="P191" s="43">
        <v>375792.3</v>
      </c>
      <c r="Q191" s="44">
        <f t="shared" si="74"/>
        <v>1.5332434576399421</v>
      </c>
      <c r="R191" s="43">
        <f>6201897*Q191/100</f>
        <v>95090.180002067835</v>
      </c>
      <c r="S191" s="43"/>
      <c r="T191" s="43">
        <v>30000</v>
      </c>
      <c r="U191" s="43"/>
      <c r="V191" s="43"/>
      <c r="W191" s="43"/>
      <c r="X191" s="43">
        <f t="shared" si="76"/>
        <v>125090.18000206783</v>
      </c>
      <c r="Y191" s="43">
        <v>109891.53300000001</v>
      </c>
      <c r="Z191" s="43">
        <f t="shared" si="77"/>
        <v>109891.53300000001</v>
      </c>
      <c r="AA191" s="43"/>
      <c r="AB191" s="43"/>
      <c r="AC191" s="43">
        <v>28047.7</v>
      </c>
      <c r="AD191" s="43">
        <f t="shared" ref="AD191:AD222" si="78">SUM(Z191:AC191)</f>
        <v>137939.23300000001</v>
      </c>
      <c r="AE191" s="43">
        <v>157943.9</v>
      </c>
      <c r="AF191" s="43"/>
      <c r="AG191" s="43"/>
      <c r="AH191" s="42">
        <f t="shared" ref="AH191:AH222" si="79">AE191+AF191+AG191</f>
        <v>157943.9</v>
      </c>
      <c r="AI191" s="41">
        <v>90720</v>
      </c>
      <c r="AJ191" s="40">
        <v>192540.7</v>
      </c>
      <c r="AK191" s="49">
        <f>150000-60000</f>
        <v>90000</v>
      </c>
      <c r="AL191" s="39">
        <f t="shared" ref="AL191:AL254" si="80">AK191</f>
        <v>90000</v>
      </c>
    </row>
    <row r="192" spans="1:38" s="18" customFormat="1" ht="13.5" customHeight="1" x14ac:dyDescent="0.25">
      <c r="A192" s="46">
        <v>44210</v>
      </c>
      <c r="B192" s="45" t="s">
        <v>110</v>
      </c>
      <c r="C192" s="43">
        <v>7793.4</v>
      </c>
      <c r="D192" s="43">
        <f t="shared" si="68"/>
        <v>649.44999999999993</v>
      </c>
      <c r="E192" s="43">
        <v>234.1</v>
      </c>
      <c r="F192" s="43">
        <v>343.1</v>
      </c>
      <c r="G192" s="43">
        <f t="shared" si="69"/>
        <v>1815.8622</v>
      </c>
      <c r="H192" s="44">
        <f t="shared" si="70"/>
        <v>3.1808109500662393E-3</v>
      </c>
      <c r="I192" s="43">
        <v>701</v>
      </c>
      <c r="J192" s="43"/>
      <c r="K192" s="43"/>
      <c r="L192" s="43">
        <f t="shared" si="71"/>
        <v>701</v>
      </c>
      <c r="M192" s="43">
        <v>701</v>
      </c>
      <c r="N192" s="43">
        <f t="shared" si="72"/>
        <v>0</v>
      </c>
      <c r="O192" s="43">
        <f t="shared" si="73"/>
        <v>100</v>
      </c>
      <c r="P192" s="43">
        <v>2212.6000000000004</v>
      </c>
      <c r="Q192" s="44">
        <f t="shared" si="74"/>
        <v>9.0274720221093837E-3</v>
      </c>
      <c r="R192" s="43">
        <f>6201897*Q192/100</f>
        <v>559.87451651504114</v>
      </c>
      <c r="S192" s="43"/>
      <c r="T192" s="43"/>
      <c r="U192" s="43"/>
      <c r="V192" s="43"/>
      <c r="W192" s="43"/>
      <c r="X192" s="43">
        <f t="shared" si="76"/>
        <v>559.87451651504114</v>
      </c>
      <c r="Y192" s="43">
        <v>253.2</v>
      </c>
      <c r="Z192" s="43">
        <f t="shared" si="77"/>
        <v>253.2</v>
      </c>
      <c r="AA192" s="43"/>
      <c r="AB192" s="43"/>
      <c r="AC192" s="43">
        <f>700+140+250</f>
        <v>1090</v>
      </c>
      <c r="AD192" s="43">
        <f t="shared" si="78"/>
        <v>1343.2</v>
      </c>
      <c r="AE192" s="43">
        <v>294.5</v>
      </c>
      <c r="AF192" s="43"/>
      <c r="AG192" s="43"/>
      <c r="AH192" s="42">
        <v>294.5</v>
      </c>
      <c r="AI192" s="41">
        <f>749.5+1000</f>
        <v>1749.5</v>
      </c>
      <c r="AJ192" s="40">
        <v>2928.6</v>
      </c>
      <c r="AK192" s="49">
        <f>1584-700</f>
        <v>884</v>
      </c>
      <c r="AL192" s="39">
        <f t="shared" si="80"/>
        <v>884</v>
      </c>
    </row>
    <row r="193" spans="1:38" s="18" customFormat="1" ht="20.399999999999999" x14ac:dyDescent="0.25">
      <c r="A193" s="46">
        <v>44320</v>
      </c>
      <c r="B193" s="45" t="s">
        <v>109</v>
      </c>
      <c r="C193" s="43">
        <v>792.7</v>
      </c>
      <c r="D193" s="43">
        <f t="shared" si="68"/>
        <v>66.058333333333337</v>
      </c>
      <c r="E193" s="43">
        <v>52.1</v>
      </c>
      <c r="F193" s="43">
        <v>52.2</v>
      </c>
      <c r="G193" s="43">
        <f t="shared" si="69"/>
        <v>184.69909999999999</v>
      </c>
      <c r="H193" s="44">
        <f t="shared" si="70"/>
        <v>5.7477231824655029E-4</v>
      </c>
      <c r="I193" s="43">
        <v>73.7</v>
      </c>
      <c r="J193" s="43"/>
      <c r="K193" s="43"/>
      <c r="L193" s="43">
        <f t="shared" si="71"/>
        <v>73.7</v>
      </c>
      <c r="M193" s="43">
        <v>73.7</v>
      </c>
      <c r="N193" s="43">
        <f t="shared" si="72"/>
        <v>0</v>
      </c>
      <c r="O193" s="43">
        <f t="shared" si="73"/>
        <v>100</v>
      </c>
      <c r="P193" s="43">
        <v>201.7</v>
      </c>
      <c r="Q193" s="44">
        <f t="shared" si="74"/>
        <v>8.2294183623766721E-4</v>
      </c>
      <c r="R193" s="43">
        <f>6201897*Q193/100+2</f>
        <v>53.038005053368799</v>
      </c>
      <c r="S193" s="43"/>
      <c r="T193" s="43"/>
      <c r="U193" s="43"/>
      <c r="V193" s="43"/>
      <c r="W193" s="43"/>
      <c r="X193" s="43">
        <f t="shared" si="76"/>
        <v>53.038005053368799</v>
      </c>
      <c r="Y193" s="43">
        <v>54.7</v>
      </c>
      <c r="Z193" s="43">
        <f t="shared" si="77"/>
        <v>54.7</v>
      </c>
      <c r="AA193" s="43"/>
      <c r="AB193" s="43"/>
      <c r="AC193" s="43"/>
      <c r="AD193" s="43">
        <f t="shared" si="78"/>
        <v>54.7</v>
      </c>
      <c r="AE193" s="43">
        <v>81.099999999999994</v>
      </c>
      <c r="AF193" s="43"/>
      <c r="AG193" s="43"/>
      <c r="AH193" s="42">
        <f t="shared" si="79"/>
        <v>81.099999999999994</v>
      </c>
      <c r="AI193" s="41">
        <v>69</v>
      </c>
      <c r="AJ193" s="40">
        <v>60.7</v>
      </c>
      <c r="AK193" s="49">
        <v>86.4</v>
      </c>
      <c r="AL193" s="39">
        <f t="shared" si="80"/>
        <v>86.4</v>
      </c>
    </row>
    <row r="194" spans="1:38" s="18" customFormat="1" ht="20.399999999999999" x14ac:dyDescent="0.25">
      <c r="A194" s="46">
        <v>44410</v>
      </c>
      <c r="B194" s="45" t="s">
        <v>108</v>
      </c>
      <c r="C194" s="43">
        <v>3314</v>
      </c>
      <c r="D194" s="43">
        <f t="shared" si="68"/>
        <v>276.16666666666669</v>
      </c>
      <c r="E194" s="43">
        <v>188.9</v>
      </c>
      <c r="F194" s="43">
        <v>298.7</v>
      </c>
      <c r="G194" s="43">
        <f t="shared" si="69"/>
        <v>772.16199999999992</v>
      </c>
      <c r="H194" s="44">
        <f t="shared" si="70"/>
        <v>2.6870468109014179E-3</v>
      </c>
      <c r="I194" s="43">
        <v>307.7</v>
      </c>
      <c r="J194" s="43"/>
      <c r="K194" s="43"/>
      <c r="L194" s="43">
        <f t="shared" si="71"/>
        <v>307.7</v>
      </c>
      <c r="M194" s="43">
        <v>307.7</v>
      </c>
      <c r="N194" s="43">
        <f t="shared" si="72"/>
        <v>0</v>
      </c>
      <c r="O194" s="43">
        <f t="shared" si="73"/>
        <v>100</v>
      </c>
      <c r="P194" s="43">
        <v>858.3</v>
      </c>
      <c r="Q194" s="44">
        <f t="shared" si="74"/>
        <v>3.5018888351154671E-3</v>
      </c>
      <c r="R194" s="43">
        <f>6201897*Q194/100+100</f>
        <v>317.18353860836112</v>
      </c>
      <c r="S194" s="43"/>
      <c r="T194" s="43"/>
      <c r="U194" s="43"/>
      <c r="V194" s="43"/>
      <c r="W194" s="43"/>
      <c r="X194" s="43">
        <f t="shared" si="76"/>
        <v>317.18353860836112</v>
      </c>
      <c r="Y194" s="43">
        <v>256.79999999999995</v>
      </c>
      <c r="Z194" s="43">
        <f t="shared" si="77"/>
        <v>256.79999999999995</v>
      </c>
      <c r="AA194" s="43"/>
      <c r="AB194" s="43"/>
      <c r="AC194" s="43"/>
      <c r="AD194" s="43">
        <f t="shared" si="78"/>
        <v>256.79999999999995</v>
      </c>
      <c r="AE194" s="43">
        <v>218.7</v>
      </c>
      <c r="AF194" s="43">
        <v>1000</v>
      </c>
      <c r="AG194" s="43"/>
      <c r="AH194" s="42">
        <f t="shared" si="79"/>
        <v>1218.7</v>
      </c>
      <c r="AI194" s="41">
        <v>326.10000000000002</v>
      </c>
      <c r="AJ194" s="40">
        <v>305.5</v>
      </c>
      <c r="AK194" s="49">
        <f>736.8-400</f>
        <v>336.79999999999995</v>
      </c>
      <c r="AL194" s="39">
        <f t="shared" si="80"/>
        <v>336.79999999999995</v>
      </c>
    </row>
    <row r="195" spans="1:38" s="18" customFormat="1" ht="20.399999999999999" x14ac:dyDescent="0.25">
      <c r="A195" s="46">
        <v>44420</v>
      </c>
      <c r="B195" s="45" t="s">
        <v>107</v>
      </c>
      <c r="C195" s="43">
        <v>41353.5</v>
      </c>
      <c r="D195" s="43">
        <f t="shared" si="68"/>
        <v>3446.125</v>
      </c>
      <c r="E195" s="43">
        <v>1547.5</v>
      </c>
      <c r="F195" s="43">
        <v>1590.7</v>
      </c>
      <c r="G195" s="43">
        <f t="shared" si="69"/>
        <v>9635.3654999999999</v>
      </c>
      <c r="H195" s="44">
        <f t="shared" si="70"/>
        <v>1.7293868543828608E-2</v>
      </c>
      <c r="I195" s="43">
        <v>3898.2</v>
      </c>
      <c r="J195" s="43"/>
      <c r="K195" s="43"/>
      <c r="L195" s="43">
        <f t="shared" si="71"/>
        <v>3898.2</v>
      </c>
      <c r="M195" s="43">
        <v>3898.2</v>
      </c>
      <c r="N195" s="43">
        <f t="shared" si="72"/>
        <v>0</v>
      </c>
      <c r="O195" s="43">
        <f t="shared" si="73"/>
        <v>100</v>
      </c>
      <c r="P195" s="43">
        <v>11737.500000000002</v>
      </c>
      <c r="Q195" s="44">
        <f t="shared" si="74"/>
        <v>4.7889339627365496E-2</v>
      </c>
      <c r="R195" s="43">
        <f>6201897*Q195/100</f>
        <v>2970.0475176693917</v>
      </c>
      <c r="S195" s="43"/>
      <c r="T195" s="43"/>
      <c r="U195" s="43"/>
      <c r="V195" s="43"/>
      <c r="W195" s="43"/>
      <c r="X195" s="43">
        <f t="shared" si="76"/>
        <v>2970.0475176693917</v>
      </c>
      <c r="Y195" s="43">
        <v>1669.2329999999999</v>
      </c>
      <c r="Z195" s="43">
        <f t="shared" si="77"/>
        <v>1669.2329999999999</v>
      </c>
      <c r="AA195" s="43"/>
      <c r="AB195" s="43"/>
      <c r="AC195" s="43"/>
      <c r="AD195" s="43">
        <f t="shared" si="78"/>
        <v>1669.2329999999999</v>
      </c>
      <c r="AE195" s="43">
        <v>2074.8000000000002</v>
      </c>
      <c r="AF195" s="43"/>
      <c r="AG195" s="43"/>
      <c r="AH195" s="42">
        <f t="shared" si="79"/>
        <v>2074.8000000000002</v>
      </c>
      <c r="AI195" s="41">
        <v>2074.8000000000002</v>
      </c>
      <c r="AJ195" s="40">
        <v>3922.2</v>
      </c>
      <c r="AK195" s="49">
        <f>6000-3000</f>
        <v>3000</v>
      </c>
      <c r="AL195" s="39">
        <f t="shared" si="80"/>
        <v>3000</v>
      </c>
    </row>
    <row r="196" spans="1:38" s="18" customFormat="1" ht="20.399999999999999" x14ac:dyDescent="0.25">
      <c r="A196" s="46">
        <v>44521</v>
      </c>
      <c r="B196" s="45" t="s">
        <v>106</v>
      </c>
      <c r="C196" s="43">
        <v>19246.5</v>
      </c>
      <c r="D196" s="43">
        <f t="shared" ref="D196:D227" si="81">C196/12</f>
        <v>1603.875</v>
      </c>
      <c r="E196" s="43">
        <v>1271.2</v>
      </c>
      <c r="F196" s="43">
        <v>1203.7</v>
      </c>
      <c r="G196" s="43">
        <f t="shared" ref="G196:G227" si="82">C196*23.3/100</f>
        <v>4484.4345000000003</v>
      </c>
      <c r="H196" s="44">
        <f t="shared" ref="H196:H227" si="83">(E196+F196)/(8725103.2+9421212.6)*100</f>
        <v>1.3638581116283674E-2</v>
      </c>
      <c r="I196" s="43">
        <f>7990664.7*H196/100+200</f>
        <v>1289.8132868397456</v>
      </c>
      <c r="J196" s="43"/>
      <c r="K196" s="43"/>
      <c r="L196" s="43">
        <f t="shared" ref="L196:L227" si="84">SUM(I196:K196)</f>
        <v>1289.8132868397456</v>
      </c>
      <c r="M196" s="43">
        <v>1289.8</v>
      </c>
      <c r="N196" s="43">
        <f t="shared" ref="N196:N227" si="85">M196-L196</f>
        <v>-1.3286839745660473E-2</v>
      </c>
      <c r="O196" s="43">
        <f t="shared" si="73"/>
        <v>99.998969863321989</v>
      </c>
      <c r="P196" s="43">
        <v>4987.4000000000005</v>
      </c>
      <c r="Q196" s="44">
        <f t="shared" ref="Q196:Q227" si="86">P196/24509630.1*100</f>
        <v>2.0348736311610022E-2</v>
      </c>
      <c r="R196" s="43">
        <f>6201897*Q196/100</f>
        <v>1262.0076668476527</v>
      </c>
      <c r="S196" s="43"/>
      <c r="T196" s="43"/>
      <c r="U196" s="43"/>
      <c r="V196" s="43"/>
      <c r="W196" s="43"/>
      <c r="X196" s="43">
        <f t="shared" si="76"/>
        <v>1262.0076668476527</v>
      </c>
      <c r="Y196" s="43">
        <v>1507.001</v>
      </c>
      <c r="Z196" s="43">
        <f t="shared" si="77"/>
        <v>1507.001</v>
      </c>
      <c r="AA196" s="43"/>
      <c r="AB196" s="43"/>
      <c r="AC196" s="43"/>
      <c r="AD196" s="43">
        <f t="shared" si="78"/>
        <v>1507.001</v>
      </c>
      <c r="AE196" s="43">
        <v>1810</v>
      </c>
      <c r="AF196" s="43"/>
      <c r="AG196" s="43"/>
      <c r="AH196" s="42">
        <f t="shared" si="79"/>
        <v>1810</v>
      </c>
      <c r="AI196" s="41">
        <v>1810</v>
      </c>
      <c r="AJ196" s="40">
        <v>1499.1</v>
      </c>
      <c r="AK196" s="49"/>
      <c r="AL196" s="39">
        <f t="shared" si="80"/>
        <v>0</v>
      </c>
    </row>
    <row r="197" spans="1:38" s="18" customFormat="1" ht="20.399999999999999" x14ac:dyDescent="0.25">
      <c r="A197" s="46">
        <v>44620</v>
      </c>
      <c r="B197" s="45" t="s">
        <v>105</v>
      </c>
      <c r="C197" s="43">
        <v>948.7</v>
      </c>
      <c r="D197" s="43">
        <f t="shared" si="81"/>
        <v>79.058333333333337</v>
      </c>
      <c r="E197" s="43">
        <v>37.799999999999997</v>
      </c>
      <c r="F197" s="43">
        <v>37.799999999999997</v>
      </c>
      <c r="G197" s="43">
        <f t="shared" si="82"/>
        <v>221.04710000000003</v>
      </c>
      <c r="H197" s="44">
        <f t="shared" si="83"/>
        <v>4.166134924203182E-4</v>
      </c>
      <c r="I197" s="43">
        <v>147.69999999999999</v>
      </c>
      <c r="J197" s="43"/>
      <c r="K197" s="43"/>
      <c r="L197" s="43">
        <f t="shared" si="84"/>
        <v>147.69999999999999</v>
      </c>
      <c r="M197" s="43">
        <v>147.69999999999999</v>
      </c>
      <c r="N197" s="43">
        <f t="shared" si="85"/>
        <v>0</v>
      </c>
      <c r="O197" s="43">
        <f t="shared" si="73"/>
        <v>100</v>
      </c>
      <c r="P197" s="43">
        <v>246.2</v>
      </c>
      <c r="Q197" s="44">
        <f t="shared" si="86"/>
        <v>1.004503123855794E-3</v>
      </c>
      <c r="R197" s="43">
        <f>6201897*Q197/100</f>
        <v>62.298249103318774</v>
      </c>
      <c r="S197" s="43"/>
      <c r="T197" s="43"/>
      <c r="U197" s="43"/>
      <c r="V197" s="43"/>
      <c r="W197" s="43"/>
      <c r="X197" s="43">
        <f t="shared" si="76"/>
        <v>62.298249103318774</v>
      </c>
      <c r="Y197" s="43">
        <v>80.766999999999996</v>
      </c>
      <c r="Z197" s="43">
        <f t="shared" si="77"/>
        <v>80.766999999999996</v>
      </c>
      <c r="AA197" s="43"/>
      <c r="AB197" s="43"/>
      <c r="AC197" s="43"/>
      <c r="AD197" s="43">
        <f t="shared" si="78"/>
        <v>80.766999999999996</v>
      </c>
      <c r="AE197" s="43">
        <v>99.2</v>
      </c>
      <c r="AF197" s="43"/>
      <c r="AG197" s="42">
        <v>3.9</v>
      </c>
      <c r="AH197" s="42">
        <f t="shared" si="79"/>
        <v>103.10000000000001</v>
      </c>
      <c r="AI197" s="41">
        <v>79</v>
      </c>
      <c r="AJ197" s="40">
        <v>230</v>
      </c>
      <c r="AK197" s="49">
        <f>173.5-100</f>
        <v>73.5</v>
      </c>
      <c r="AL197" s="39">
        <f t="shared" si="80"/>
        <v>73.5</v>
      </c>
    </row>
    <row r="198" spans="1:38" s="18" customFormat="1" ht="20.399999999999999" x14ac:dyDescent="0.25">
      <c r="A198" s="46">
        <v>44710</v>
      </c>
      <c r="B198" s="45" t="s">
        <v>104</v>
      </c>
      <c r="C198" s="43">
        <v>4553.7</v>
      </c>
      <c r="D198" s="43">
        <f t="shared" si="81"/>
        <v>379.47499999999997</v>
      </c>
      <c r="E198" s="43">
        <v>158.30000000000001</v>
      </c>
      <c r="F198" s="43">
        <v>197.8</v>
      </c>
      <c r="G198" s="43">
        <f t="shared" si="82"/>
        <v>1061.0120999999999</v>
      </c>
      <c r="H198" s="44">
        <f t="shared" si="83"/>
        <v>1.9623818075512611E-3</v>
      </c>
      <c r="I198" s="43">
        <f>7990664.7*H198/100+50</f>
        <v>206.80735037522055</v>
      </c>
      <c r="J198" s="43"/>
      <c r="K198" s="43"/>
      <c r="L198" s="43">
        <f t="shared" si="84"/>
        <v>206.80735037522055</v>
      </c>
      <c r="M198" s="43">
        <v>206.8</v>
      </c>
      <c r="N198" s="43">
        <f t="shared" si="85"/>
        <v>-7.3503752205397177E-3</v>
      </c>
      <c r="O198" s="43">
        <f t="shared" si="73"/>
        <v>99.996445786280233</v>
      </c>
      <c r="P198" s="43">
        <v>1272.5</v>
      </c>
      <c r="Q198" s="44">
        <f t="shared" si="86"/>
        <v>5.1918368200913811E-3</v>
      </c>
      <c r="R198" s="43">
        <f>6201897*Q198/100-100</f>
        <v>221.99237199014277</v>
      </c>
      <c r="S198" s="43">
        <f>491.4-491.4</f>
        <v>0</v>
      </c>
      <c r="T198" s="43">
        <f>491.4-100</f>
        <v>391.4</v>
      </c>
      <c r="U198" s="43"/>
      <c r="V198" s="43"/>
      <c r="W198" s="43"/>
      <c r="X198" s="43">
        <f t="shared" si="76"/>
        <v>613.39237199014269</v>
      </c>
      <c r="Y198" s="43">
        <v>225.03300000000002</v>
      </c>
      <c r="Z198" s="43">
        <f t="shared" si="77"/>
        <v>225.03300000000002</v>
      </c>
      <c r="AA198" s="43"/>
      <c r="AB198" s="43"/>
      <c r="AC198" s="43"/>
      <c r="AD198" s="43">
        <f t="shared" si="78"/>
        <v>225.03300000000002</v>
      </c>
      <c r="AE198" s="43">
        <v>211.8</v>
      </c>
      <c r="AF198" s="43"/>
      <c r="AG198" s="43"/>
      <c r="AH198" s="42">
        <f t="shared" si="79"/>
        <v>211.8</v>
      </c>
      <c r="AI198" s="41">
        <v>225</v>
      </c>
      <c r="AJ198" s="40">
        <v>7898.5</v>
      </c>
      <c r="AK198" s="49">
        <f>2718.8-2300</f>
        <v>418.80000000000018</v>
      </c>
      <c r="AL198" s="39">
        <f t="shared" si="80"/>
        <v>418.80000000000018</v>
      </c>
    </row>
    <row r="199" spans="1:38" s="18" customFormat="1" ht="20.399999999999999" x14ac:dyDescent="0.25">
      <c r="A199" s="46">
        <v>44721</v>
      </c>
      <c r="B199" s="45" t="s">
        <v>103</v>
      </c>
      <c r="C199" s="43">
        <v>348314.7</v>
      </c>
      <c r="D199" s="43">
        <f t="shared" si="81"/>
        <v>29026.225000000002</v>
      </c>
      <c r="E199" s="43">
        <v>13132.9</v>
      </c>
      <c r="F199" s="43">
        <v>9254.9</v>
      </c>
      <c r="G199" s="43">
        <f t="shared" si="82"/>
        <v>81157.325100000002</v>
      </c>
      <c r="H199" s="44">
        <f t="shared" si="83"/>
        <v>0.12337380351332805</v>
      </c>
      <c r="I199" s="43">
        <f>7990664.7*H199/100+1300</f>
        <v>11158.386966386865</v>
      </c>
      <c r="J199" s="43"/>
      <c r="K199" s="43"/>
      <c r="L199" s="43">
        <f t="shared" si="84"/>
        <v>11158.386966386865</v>
      </c>
      <c r="M199" s="43">
        <v>11152.9</v>
      </c>
      <c r="N199" s="43">
        <f t="shared" si="85"/>
        <v>-5.4869663868648786</v>
      </c>
      <c r="O199" s="43">
        <f t="shared" si="73"/>
        <v>99.950826527137011</v>
      </c>
      <c r="P199" s="43">
        <v>129635.1</v>
      </c>
      <c r="Q199" s="44">
        <f t="shared" si="86"/>
        <v>0.52891495902257613</v>
      </c>
      <c r="R199" s="43">
        <f>6201897*Q199/100-20000</f>
        <v>12802.76097617238</v>
      </c>
      <c r="S199" s="43">
        <f>6309.1-6309.1</f>
        <v>0</v>
      </c>
      <c r="T199" s="43"/>
      <c r="U199" s="43"/>
      <c r="V199" s="43"/>
      <c r="W199" s="43"/>
      <c r="X199" s="43">
        <f t="shared" si="76"/>
        <v>12802.76097617238</v>
      </c>
      <c r="Y199" s="43">
        <v>13139.965999999999</v>
      </c>
      <c r="Z199" s="43">
        <f t="shared" si="77"/>
        <v>13139.965999999999</v>
      </c>
      <c r="AA199" s="43">
        <v>50000</v>
      </c>
      <c r="AB199" s="43"/>
      <c r="AC199" s="43"/>
      <c r="AD199" s="43">
        <f t="shared" si="78"/>
        <v>63139.966</v>
      </c>
      <c r="AE199" s="43">
        <f>19438.9-5000</f>
        <v>14438.900000000001</v>
      </c>
      <c r="AF199" s="43"/>
      <c r="AG199" s="43"/>
      <c r="AH199" s="42">
        <f t="shared" si="79"/>
        <v>14438.900000000001</v>
      </c>
      <c r="AI199" s="41">
        <v>14438.9</v>
      </c>
      <c r="AJ199" s="40">
        <v>13210.5</v>
      </c>
      <c r="AK199" s="49">
        <f>20117.4-10000</f>
        <v>10117.400000000001</v>
      </c>
      <c r="AL199" s="39">
        <f t="shared" si="80"/>
        <v>10117.400000000001</v>
      </c>
    </row>
    <row r="200" spans="1:38" s="18" customFormat="1" ht="30.6" x14ac:dyDescent="0.25">
      <c r="A200" s="46">
        <v>44731</v>
      </c>
      <c r="B200" s="45" t="s">
        <v>102</v>
      </c>
      <c r="C200" s="43">
        <v>45268.4</v>
      </c>
      <c r="D200" s="43">
        <f t="shared" si="81"/>
        <v>3772.3666666666668</v>
      </c>
      <c r="E200" s="43">
        <v>3362.2</v>
      </c>
      <c r="F200" s="43">
        <v>3203.8</v>
      </c>
      <c r="G200" s="43">
        <f t="shared" si="82"/>
        <v>10547.537199999999</v>
      </c>
      <c r="H200" s="44">
        <f t="shared" si="83"/>
        <v>3.6183653323172082E-2</v>
      </c>
      <c r="I200" s="43">
        <f>7990664.7*H200/100+400</f>
        <v>3291.3144132650887</v>
      </c>
      <c r="J200" s="43"/>
      <c r="K200" s="43"/>
      <c r="L200" s="43">
        <f t="shared" si="84"/>
        <v>3291.3144132650887</v>
      </c>
      <c r="M200" s="43">
        <v>3291.3</v>
      </c>
      <c r="N200" s="43">
        <f t="shared" si="85"/>
        <v>-1.4413265088478511E-2</v>
      </c>
      <c r="O200" s="43">
        <f t="shared" si="73"/>
        <v>99.999562081792291</v>
      </c>
      <c r="P200" s="43">
        <v>11852.199999999999</v>
      </c>
      <c r="Q200" s="44">
        <f t="shared" si="86"/>
        <v>4.8357318946237376E-2</v>
      </c>
      <c r="R200" s="43">
        <f>6201897*Q200/100</f>
        <v>2999.0711130071272</v>
      </c>
      <c r="S200" s="43">
        <f>1373.1-1373.1</f>
        <v>0</v>
      </c>
      <c r="T200" s="43">
        <v>950</v>
      </c>
      <c r="U200" s="43"/>
      <c r="V200" s="43"/>
      <c r="W200" s="43"/>
      <c r="X200" s="43">
        <f t="shared" si="76"/>
        <v>3949.0711130071272</v>
      </c>
      <c r="Y200" s="43">
        <v>3624.2000000000003</v>
      </c>
      <c r="Z200" s="43">
        <f t="shared" si="77"/>
        <v>3624.2000000000003</v>
      </c>
      <c r="AA200" s="43"/>
      <c r="AB200" s="43"/>
      <c r="AC200" s="43"/>
      <c r="AD200" s="43">
        <f t="shared" si="78"/>
        <v>3624.2000000000003</v>
      </c>
      <c r="AE200" s="43">
        <v>3957.4</v>
      </c>
      <c r="AF200" s="43"/>
      <c r="AG200" s="43"/>
      <c r="AH200" s="42">
        <f t="shared" si="79"/>
        <v>3957.4</v>
      </c>
      <c r="AI200" s="41">
        <v>3904.4</v>
      </c>
      <c r="AJ200" s="40">
        <v>3788.2</v>
      </c>
      <c r="AK200" s="49">
        <f>4917-1500</f>
        <v>3417</v>
      </c>
      <c r="AL200" s="39">
        <f t="shared" si="80"/>
        <v>3417</v>
      </c>
    </row>
    <row r="201" spans="1:38" s="18" customFormat="1" ht="25.5" customHeight="1" x14ac:dyDescent="0.25">
      <c r="A201" s="46">
        <v>44741</v>
      </c>
      <c r="B201" s="45" t="s">
        <v>101</v>
      </c>
      <c r="C201" s="43">
        <v>48769.2</v>
      </c>
      <c r="D201" s="43">
        <f t="shared" si="81"/>
        <v>4064.1</v>
      </c>
      <c r="E201" s="43">
        <v>2813</v>
      </c>
      <c r="F201" s="43">
        <v>2644.1</v>
      </c>
      <c r="G201" s="43">
        <f t="shared" si="82"/>
        <v>11363.223599999999</v>
      </c>
      <c r="H201" s="44">
        <f t="shared" si="83"/>
        <v>3.0072771024959248E-2</v>
      </c>
      <c r="I201" s="43">
        <f>7990664.7*H201/100+300</f>
        <v>2703.014298603247</v>
      </c>
      <c r="J201" s="43"/>
      <c r="K201" s="43"/>
      <c r="L201" s="43">
        <f t="shared" si="84"/>
        <v>2703.014298603247</v>
      </c>
      <c r="M201" s="43">
        <v>2703</v>
      </c>
      <c r="N201" s="43">
        <f t="shared" si="85"/>
        <v>-1.4298603246970742E-2</v>
      </c>
      <c r="O201" s="43">
        <f t="shared" si="73"/>
        <v>99.999471012667058</v>
      </c>
      <c r="P201" s="43">
        <v>13109.300000000001</v>
      </c>
      <c r="Q201" s="44">
        <f t="shared" si="86"/>
        <v>5.3486323320726094E-2</v>
      </c>
      <c r="R201" s="43">
        <f>6201897*Q201/100</f>
        <v>3317.1666814384121</v>
      </c>
      <c r="S201" s="43">
        <f>1841.4-1841.4</f>
        <v>0</v>
      </c>
      <c r="T201" s="43">
        <f>1841.4-70.7-77.1</f>
        <v>1693.6000000000001</v>
      </c>
      <c r="U201" s="43"/>
      <c r="V201" s="43"/>
      <c r="W201" s="43"/>
      <c r="X201" s="43">
        <f t="shared" si="76"/>
        <v>5010.766681438412</v>
      </c>
      <c r="Y201" s="43">
        <v>3312.5660000000003</v>
      </c>
      <c r="Z201" s="43">
        <f t="shared" si="77"/>
        <v>3312.5660000000003</v>
      </c>
      <c r="AA201" s="43"/>
      <c r="AB201" s="43"/>
      <c r="AC201" s="43"/>
      <c r="AD201" s="43">
        <f t="shared" si="78"/>
        <v>3312.5660000000003</v>
      </c>
      <c r="AE201" s="43">
        <v>4927.5</v>
      </c>
      <c r="AF201" s="43"/>
      <c r="AG201" s="43"/>
      <c r="AH201" s="42">
        <f t="shared" si="79"/>
        <v>4927.5</v>
      </c>
      <c r="AI201" s="41">
        <f>3781.5+15000</f>
        <v>18781.5</v>
      </c>
      <c r="AJ201" s="40">
        <v>3300.5</v>
      </c>
      <c r="AK201" s="49">
        <f>5952-3000</f>
        <v>2952</v>
      </c>
      <c r="AL201" s="39">
        <f t="shared" si="80"/>
        <v>2952</v>
      </c>
    </row>
    <row r="202" spans="1:38" s="18" customFormat="1" ht="13.5" customHeight="1" x14ac:dyDescent="0.25">
      <c r="A202" s="46">
        <v>44821</v>
      </c>
      <c r="B202" s="45" t="s">
        <v>100</v>
      </c>
      <c r="C202" s="43">
        <v>10302.700000000001</v>
      </c>
      <c r="D202" s="43">
        <f t="shared" si="81"/>
        <v>858.55833333333339</v>
      </c>
      <c r="E202" s="43">
        <v>713.2</v>
      </c>
      <c r="F202" s="43">
        <v>668.1</v>
      </c>
      <c r="G202" s="43">
        <f t="shared" si="82"/>
        <v>2400.5291000000002</v>
      </c>
      <c r="H202" s="44">
        <f t="shared" si="83"/>
        <v>7.6120134534416089E-3</v>
      </c>
      <c r="I202" s="43">
        <v>730</v>
      </c>
      <c r="J202" s="43"/>
      <c r="K202" s="43"/>
      <c r="L202" s="43">
        <f t="shared" si="84"/>
        <v>730</v>
      </c>
      <c r="M202" s="43">
        <v>730</v>
      </c>
      <c r="N202" s="43">
        <f t="shared" si="85"/>
        <v>0</v>
      </c>
      <c r="O202" s="43">
        <f t="shared" si="73"/>
        <v>100</v>
      </c>
      <c r="P202" s="43">
        <v>2770.3999999999996</v>
      </c>
      <c r="Q202" s="44">
        <f t="shared" si="86"/>
        <v>1.1303312162185587E-2</v>
      </c>
      <c r="R202" s="43">
        <f>6201897*Q202/100</f>
        <v>701.01977788722297</v>
      </c>
      <c r="S202" s="43"/>
      <c r="T202" s="43"/>
      <c r="U202" s="43"/>
      <c r="V202" s="43"/>
      <c r="W202" s="43"/>
      <c r="X202" s="43">
        <f t="shared" ref="X202:X233" si="87">SUM(R202:V202)</f>
        <v>701.01977788722297</v>
      </c>
      <c r="Y202" s="43">
        <v>618.5</v>
      </c>
      <c r="Z202" s="43">
        <f t="shared" si="77"/>
        <v>618.5</v>
      </c>
      <c r="AA202" s="43"/>
      <c r="AB202" s="43"/>
      <c r="AC202" s="43"/>
      <c r="AD202" s="43">
        <f t="shared" si="78"/>
        <v>618.5</v>
      </c>
      <c r="AE202" s="43">
        <v>968.2</v>
      </c>
      <c r="AF202" s="43"/>
      <c r="AG202" s="43"/>
      <c r="AH202" s="42">
        <f t="shared" si="79"/>
        <v>968.2</v>
      </c>
      <c r="AI202" s="41">
        <f>983.7+422</f>
        <v>1405.7</v>
      </c>
      <c r="AJ202" s="40">
        <v>1002.5</v>
      </c>
      <c r="AK202" s="49">
        <f>1864.8-800-300</f>
        <v>764.8</v>
      </c>
      <c r="AL202" s="39">
        <f t="shared" si="80"/>
        <v>764.8</v>
      </c>
    </row>
    <row r="203" spans="1:38" s="18" customFormat="1" ht="15" customHeight="1" x14ac:dyDescent="0.25">
      <c r="A203" s="46">
        <v>45110</v>
      </c>
      <c r="B203" s="45" t="s">
        <v>99</v>
      </c>
      <c r="C203" s="43">
        <v>52321</v>
      </c>
      <c r="D203" s="43">
        <f t="shared" si="81"/>
        <v>4360.083333333333</v>
      </c>
      <c r="E203" s="43">
        <v>4101.8</v>
      </c>
      <c r="F203" s="43">
        <v>4073.3</v>
      </c>
      <c r="G203" s="43">
        <f t="shared" si="82"/>
        <v>12190.793</v>
      </c>
      <c r="H203" s="44">
        <f t="shared" si="83"/>
        <v>4.5051018014356403E-2</v>
      </c>
      <c r="I203" s="43">
        <v>3702.3</v>
      </c>
      <c r="J203" s="43"/>
      <c r="K203" s="43"/>
      <c r="L203" s="43">
        <f t="shared" si="84"/>
        <v>3702.3</v>
      </c>
      <c r="M203" s="43">
        <v>3702.3</v>
      </c>
      <c r="N203" s="43">
        <f t="shared" si="85"/>
        <v>0</v>
      </c>
      <c r="O203" s="43">
        <f t="shared" si="73"/>
        <v>100</v>
      </c>
      <c r="P203" s="43">
        <v>13787.300000000001</v>
      </c>
      <c r="Q203" s="44">
        <f t="shared" si="86"/>
        <v>5.6252582938818005E-2</v>
      </c>
      <c r="R203" s="43">
        <f>6201897*Q203/100+200</f>
        <v>3688.7272537050658</v>
      </c>
      <c r="S203" s="43"/>
      <c r="T203" s="43"/>
      <c r="U203" s="43"/>
      <c r="V203" s="43"/>
      <c r="W203" s="43"/>
      <c r="X203" s="43">
        <f t="shared" si="87"/>
        <v>3688.7272537050658</v>
      </c>
      <c r="Y203" s="43">
        <v>3684.0660000000003</v>
      </c>
      <c r="Z203" s="43">
        <f t="shared" si="77"/>
        <v>3684.0660000000003</v>
      </c>
      <c r="AA203" s="43"/>
      <c r="AB203" s="43"/>
      <c r="AC203" s="43"/>
      <c r="AD203" s="43">
        <f t="shared" si="78"/>
        <v>3684.0660000000003</v>
      </c>
      <c r="AE203" s="43">
        <f>5385.6-1200</f>
        <v>4185.6000000000004</v>
      </c>
      <c r="AF203" s="43">
        <v>1000</v>
      </c>
      <c r="AG203" s="43"/>
      <c r="AH203" s="42">
        <f t="shared" si="79"/>
        <v>5185.6000000000004</v>
      </c>
      <c r="AI203" s="41">
        <v>4608.8</v>
      </c>
      <c r="AJ203" s="40">
        <v>4632.3999999999996</v>
      </c>
      <c r="AK203" s="49">
        <f>5201.3-1500</f>
        <v>3701.3</v>
      </c>
      <c r="AL203" s="39">
        <f t="shared" si="80"/>
        <v>3701.3</v>
      </c>
    </row>
    <row r="204" spans="1:38" s="18" customFormat="1" ht="20.399999999999999" x14ac:dyDescent="0.25">
      <c r="A204" s="46">
        <v>45121</v>
      </c>
      <c r="B204" s="45" t="s">
        <v>98</v>
      </c>
      <c r="C204" s="43">
        <v>681696.5</v>
      </c>
      <c r="D204" s="43">
        <f t="shared" si="81"/>
        <v>56808.041666666664</v>
      </c>
      <c r="E204" s="43">
        <v>28741.5</v>
      </c>
      <c r="F204" s="43">
        <v>54702.8</v>
      </c>
      <c r="G204" s="43">
        <f t="shared" si="82"/>
        <v>158835.28450000001</v>
      </c>
      <c r="H204" s="44">
        <f t="shared" si="83"/>
        <v>0.45984155086731165</v>
      </c>
      <c r="I204" s="43">
        <v>40001.9</v>
      </c>
      <c r="J204" s="43"/>
      <c r="K204" s="43">
        <v>20969</v>
      </c>
      <c r="L204" s="43">
        <f t="shared" si="84"/>
        <v>60970.9</v>
      </c>
      <c r="M204" s="43">
        <v>60970.9</v>
      </c>
      <c r="N204" s="43">
        <f t="shared" si="85"/>
        <v>0</v>
      </c>
      <c r="O204" s="43">
        <f t="shared" si="73"/>
        <v>100</v>
      </c>
      <c r="P204" s="43">
        <v>173484.59999999998</v>
      </c>
      <c r="Q204" s="44">
        <f t="shared" si="86"/>
        <v>0.70782218781833017</v>
      </c>
      <c r="R204" s="43">
        <f>6201897*Q204/100</f>
        <v>43898.403031639384</v>
      </c>
      <c r="S204" s="43">
        <v>11013.2</v>
      </c>
      <c r="T204" s="43"/>
      <c r="U204" s="43"/>
      <c r="V204" s="43"/>
      <c r="W204" s="43"/>
      <c r="X204" s="43">
        <f t="shared" si="87"/>
        <v>54911.603031639388</v>
      </c>
      <c r="Y204" s="43">
        <v>25983.334000000003</v>
      </c>
      <c r="Z204" s="43">
        <f>Y204+22818.2+3000</f>
        <v>51801.534</v>
      </c>
      <c r="AA204" s="43">
        <v>35000</v>
      </c>
      <c r="AB204" s="43"/>
      <c r="AC204" s="43"/>
      <c r="AD204" s="43">
        <f t="shared" si="78"/>
        <v>86801.534</v>
      </c>
      <c r="AE204" s="43">
        <v>27358.3</v>
      </c>
      <c r="AF204" s="43">
        <v>15926.1</v>
      </c>
      <c r="AG204" s="43">
        <v>-3295</v>
      </c>
      <c r="AH204" s="42">
        <f t="shared" si="79"/>
        <v>39989.4</v>
      </c>
      <c r="AI204" s="41">
        <f>49621+32922.6</f>
        <v>82543.600000000006</v>
      </c>
      <c r="AJ204" s="40">
        <v>197906.8</v>
      </c>
      <c r="AK204" s="49">
        <f>55093+45000-45000</f>
        <v>55093</v>
      </c>
      <c r="AL204" s="39">
        <f t="shared" si="80"/>
        <v>55093</v>
      </c>
    </row>
    <row r="205" spans="1:38" s="18" customFormat="1" ht="20.399999999999999" x14ac:dyDescent="0.25">
      <c r="A205" s="46">
        <v>45151</v>
      </c>
      <c r="B205" s="45" t="s">
        <v>97</v>
      </c>
      <c r="C205" s="43">
        <v>100000</v>
      </c>
      <c r="D205" s="43">
        <f t="shared" si="81"/>
        <v>8333.3333333333339</v>
      </c>
      <c r="E205" s="43"/>
      <c r="F205" s="43"/>
      <c r="G205" s="43">
        <f t="shared" si="82"/>
        <v>23300</v>
      </c>
      <c r="H205" s="44">
        <f t="shared" si="83"/>
        <v>0</v>
      </c>
      <c r="I205" s="43">
        <f>7990664.7*H205/100+8333.3</f>
        <v>8333.2999999999993</v>
      </c>
      <c r="J205" s="43"/>
      <c r="K205" s="43">
        <v>-8333.2999999999993</v>
      </c>
      <c r="L205" s="43">
        <f t="shared" si="84"/>
        <v>0</v>
      </c>
      <c r="M205" s="43">
        <v>0</v>
      </c>
      <c r="N205" s="43">
        <f t="shared" si="85"/>
        <v>0</v>
      </c>
      <c r="O205" s="43"/>
      <c r="P205" s="43">
        <v>0</v>
      </c>
      <c r="Q205" s="44">
        <f t="shared" si="86"/>
        <v>0</v>
      </c>
      <c r="R205" s="43">
        <f>6201897*Q205/100</f>
        <v>0</v>
      </c>
      <c r="S205" s="43"/>
      <c r="T205" s="43"/>
      <c r="U205" s="43"/>
      <c r="V205" s="43"/>
      <c r="W205" s="43"/>
      <c r="X205" s="43">
        <f t="shared" si="87"/>
        <v>0</v>
      </c>
      <c r="Y205" s="43"/>
      <c r="Z205" s="43">
        <f>Y205</f>
        <v>0</v>
      </c>
      <c r="AA205" s="43"/>
      <c r="AB205" s="43"/>
      <c r="AC205" s="43"/>
      <c r="AD205" s="43">
        <f t="shared" si="78"/>
        <v>0</v>
      </c>
      <c r="AE205" s="43"/>
      <c r="AF205" s="43"/>
      <c r="AG205" s="43"/>
      <c r="AH205" s="42">
        <f t="shared" si="79"/>
        <v>0</v>
      </c>
      <c r="AI205" s="41"/>
      <c r="AJ205" s="40">
        <v>0</v>
      </c>
      <c r="AK205" s="49"/>
      <c r="AL205" s="39">
        <f t="shared" si="80"/>
        <v>0</v>
      </c>
    </row>
    <row r="206" spans="1:38" s="18" customFormat="1" ht="20.399999999999999" x14ac:dyDescent="0.25">
      <c r="A206" s="46">
        <v>45221</v>
      </c>
      <c r="B206" s="45" t="s">
        <v>96</v>
      </c>
      <c r="C206" s="43">
        <v>131080</v>
      </c>
      <c r="D206" s="43">
        <f t="shared" si="81"/>
        <v>10923.333333333334</v>
      </c>
      <c r="E206" s="43">
        <v>12405.4</v>
      </c>
      <c r="F206" s="43">
        <v>2593.6</v>
      </c>
      <c r="G206" s="43">
        <f t="shared" si="82"/>
        <v>30541.64</v>
      </c>
      <c r="H206" s="44">
        <f t="shared" si="83"/>
        <v>8.2655896465771872E-2</v>
      </c>
      <c r="I206" s="43">
        <v>17616.599999999999</v>
      </c>
      <c r="J206" s="43"/>
      <c r="K206" s="43"/>
      <c r="L206" s="43">
        <f t="shared" si="84"/>
        <v>17616.599999999999</v>
      </c>
      <c r="M206" s="43">
        <v>17616.599999999999</v>
      </c>
      <c r="N206" s="43">
        <f t="shared" si="85"/>
        <v>0</v>
      </c>
      <c r="O206" s="43">
        <f t="shared" ref="O206:O216" si="88">M206/L206*100</f>
        <v>100</v>
      </c>
      <c r="P206" s="43">
        <v>44212.1</v>
      </c>
      <c r="Q206" s="44">
        <f t="shared" si="86"/>
        <v>0.18038664728767162</v>
      </c>
      <c r="R206" s="43">
        <f>6201897*Q206/100</f>
        <v>11187.394066534687</v>
      </c>
      <c r="S206" s="43"/>
      <c r="T206" s="43"/>
      <c r="U206" s="43"/>
      <c r="V206" s="43"/>
      <c r="W206" s="43"/>
      <c r="X206" s="43">
        <f t="shared" si="87"/>
        <v>11187.394066534687</v>
      </c>
      <c r="Y206" s="43">
        <v>2153.1329999999998</v>
      </c>
      <c r="Z206" s="43">
        <f>Y206+(15507-2140.3)</f>
        <v>15519.833000000001</v>
      </c>
      <c r="AA206" s="43"/>
      <c r="AB206" s="43"/>
      <c r="AC206" s="43"/>
      <c r="AD206" s="43">
        <f t="shared" si="78"/>
        <v>15519.833000000001</v>
      </c>
      <c r="AE206" s="43">
        <v>2373.4</v>
      </c>
      <c r="AF206" s="43"/>
      <c r="AG206" s="43">
        <v>3295</v>
      </c>
      <c r="AH206" s="42">
        <f t="shared" si="79"/>
        <v>5668.4</v>
      </c>
      <c r="AI206" s="41">
        <f>5668.4+15000</f>
        <v>20668.400000000001</v>
      </c>
      <c r="AJ206" s="40">
        <v>12047.7</v>
      </c>
      <c r="AK206" s="49">
        <f>18156.7-8000</f>
        <v>10156.700000000001</v>
      </c>
      <c r="AL206" s="39">
        <f t="shared" si="80"/>
        <v>10156.700000000001</v>
      </c>
    </row>
    <row r="207" spans="1:38" s="18" customFormat="1" ht="23.25" customHeight="1" x14ac:dyDescent="0.25">
      <c r="A207" s="46">
        <v>45320</v>
      </c>
      <c r="B207" s="45" t="s">
        <v>95</v>
      </c>
      <c r="C207" s="43">
        <v>809654.6</v>
      </c>
      <c r="D207" s="43">
        <f t="shared" si="81"/>
        <v>67471.21666666666</v>
      </c>
      <c r="E207" s="43">
        <v>61041.8</v>
      </c>
      <c r="F207" s="43">
        <v>64444.1</v>
      </c>
      <c r="G207" s="43">
        <f t="shared" si="82"/>
        <v>188649.52179999999</v>
      </c>
      <c r="H207" s="44">
        <f t="shared" si="83"/>
        <v>0.69152273873686254</v>
      </c>
      <c r="I207" s="43">
        <v>59165.599999999999</v>
      </c>
      <c r="J207" s="43"/>
      <c r="K207" s="43"/>
      <c r="L207" s="43">
        <f t="shared" si="84"/>
        <v>59165.599999999999</v>
      </c>
      <c r="M207" s="43">
        <v>57278.1</v>
      </c>
      <c r="N207" s="43">
        <f t="shared" si="85"/>
        <v>-1887.5</v>
      </c>
      <c r="O207" s="43">
        <f t="shared" si="88"/>
        <v>96.809801641494388</v>
      </c>
      <c r="P207" s="43">
        <v>207600.7</v>
      </c>
      <c r="Q207" s="44">
        <f t="shared" si="86"/>
        <v>0.84701686297583079</v>
      </c>
      <c r="R207" s="43">
        <f>6201897*Q207/100+7000</f>
        <v>59531.113414392166</v>
      </c>
      <c r="S207" s="43">
        <v>6000</v>
      </c>
      <c r="T207" s="43"/>
      <c r="U207" s="43"/>
      <c r="V207" s="43"/>
      <c r="W207" s="43"/>
      <c r="X207" s="43">
        <f t="shared" si="87"/>
        <v>65531.113414392166</v>
      </c>
      <c r="Y207" s="43">
        <v>63568.699000000001</v>
      </c>
      <c r="Z207" s="43">
        <f t="shared" ref="Z207:Z229" si="89">Y207</f>
        <v>63568.699000000001</v>
      </c>
      <c r="AA207" s="43"/>
      <c r="AB207" s="43">
        <v>3746.2</v>
      </c>
      <c r="AC207" s="43"/>
      <c r="AD207" s="43">
        <f t="shared" si="78"/>
        <v>67314.899000000005</v>
      </c>
      <c r="AE207" s="43">
        <v>64964.7</v>
      </c>
      <c r="AF207" s="43"/>
      <c r="AG207" s="43"/>
      <c r="AH207" s="42">
        <f t="shared" si="79"/>
        <v>64964.7</v>
      </c>
      <c r="AI207" s="41">
        <f>64964.7+6447.3</f>
        <v>71412</v>
      </c>
      <c r="AJ207" s="40">
        <v>68836.399999999994</v>
      </c>
      <c r="AK207" s="49">
        <f>78454.2-12000</f>
        <v>66454.2</v>
      </c>
      <c r="AL207" s="39">
        <f t="shared" si="80"/>
        <v>66454.2</v>
      </c>
    </row>
    <row r="208" spans="1:38" s="18" customFormat="1" ht="12.75" customHeight="1" x14ac:dyDescent="0.25">
      <c r="A208" s="46">
        <v>45420</v>
      </c>
      <c r="B208" s="45" t="s">
        <v>94</v>
      </c>
      <c r="C208" s="43">
        <v>119519.9</v>
      </c>
      <c r="D208" s="43">
        <f t="shared" si="81"/>
        <v>9959.9916666666668</v>
      </c>
      <c r="E208" s="43">
        <v>10365.799999999999</v>
      </c>
      <c r="F208" s="43">
        <v>10658.1</v>
      </c>
      <c r="G208" s="43">
        <f t="shared" si="82"/>
        <v>27848.136699999999</v>
      </c>
      <c r="H208" s="44">
        <f t="shared" si="83"/>
        <v>0.11585767729226891</v>
      </c>
      <c r="I208" s="43">
        <v>6055.7</v>
      </c>
      <c r="J208" s="43"/>
      <c r="K208" s="43">
        <v>5012.8</v>
      </c>
      <c r="L208" s="43">
        <f t="shared" si="84"/>
        <v>11068.5</v>
      </c>
      <c r="M208" s="43">
        <v>11068.5</v>
      </c>
      <c r="N208" s="43">
        <f t="shared" si="85"/>
        <v>0</v>
      </c>
      <c r="O208" s="43">
        <f t="shared" si="88"/>
        <v>100</v>
      </c>
      <c r="P208" s="43">
        <v>35972.800000000003</v>
      </c>
      <c r="Q208" s="44">
        <f t="shared" si="86"/>
        <v>0.14677006488155855</v>
      </c>
      <c r="R208" s="43">
        <f>6201897*Q208/100+1400</f>
        <v>10502.528250787434</v>
      </c>
      <c r="S208" s="43"/>
      <c r="T208" s="43"/>
      <c r="U208" s="43"/>
      <c r="V208" s="43"/>
      <c r="W208" s="43"/>
      <c r="X208" s="43">
        <f t="shared" si="87"/>
        <v>10502.528250787434</v>
      </c>
      <c r="Y208" s="43">
        <v>11139.8</v>
      </c>
      <c r="Z208" s="43">
        <f t="shared" si="89"/>
        <v>11139.8</v>
      </c>
      <c r="AA208" s="43"/>
      <c r="AB208" s="43"/>
      <c r="AC208" s="43"/>
      <c r="AD208" s="43">
        <f t="shared" si="78"/>
        <v>11139.8</v>
      </c>
      <c r="AE208" s="43">
        <v>11973.1</v>
      </c>
      <c r="AF208" s="43"/>
      <c r="AG208" s="43"/>
      <c r="AH208" s="42">
        <f t="shared" si="79"/>
        <v>11973.1</v>
      </c>
      <c r="AI208" s="41">
        <v>11973.1</v>
      </c>
      <c r="AJ208" s="40">
        <v>11236.5</v>
      </c>
      <c r="AK208" s="49">
        <v>9552.5</v>
      </c>
      <c r="AL208" s="39">
        <f t="shared" si="80"/>
        <v>9552.5</v>
      </c>
    </row>
    <row r="209" spans="1:38" s="18" customFormat="1" ht="20.399999999999999" x14ac:dyDescent="0.25">
      <c r="A209" s="46">
        <v>46120</v>
      </c>
      <c r="B209" s="45" t="s">
        <v>93</v>
      </c>
      <c r="C209" s="43">
        <v>14915.6</v>
      </c>
      <c r="D209" s="43">
        <f t="shared" si="81"/>
        <v>1242.9666666666667</v>
      </c>
      <c r="E209" s="43">
        <v>1083.5999999999999</v>
      </c>
      <c r="F209" s="43">
        <v>1244.9000000000001</v>
      </c>
      <c r="G209" s="43">
        <f t="shared" si="82"/>
        <v>3475.3348000000005</v>
      </c>
      <c r="H209" s="44">
        <f t="shared" si="83"/>
        <v>1.2831805781755436E-2</v>
      </c>
      <c r="I209" s="43">
        <v>1211.5999999999999</v>
      </c>
      <c r="J209" s="43"/>
      <c r="K209" s="43"/>
      <c r="L209" s="43">
        <f t="shared" si="84"/>
        <v>1211.5999999999999</v>
      </c>
      <c r="M209" s="43">
        <v>1203.8</v>
      </c>
      <c r="N209" s="43">
        <f t="shared" si="85"/>
        <v>-7.7999999999999545</v>
      </c>
      <c r="O209" s="43">
        <f t="shared" si="88"/>
        <v>99.356223175965681</v>
      </c>
      <c r="P209" s="43">
        <v>3866.0000000000005</v>
      </c>
      <c r="Q209" s="44">
        <f t="shared" si="86"/>
        <v>1.5773391863633229E-2</v>
      </c>
      <c r="R209" s="43">
        <f>6201897*Q209/100+200</f>
        <v>1178.2495167889133</v>
      </c>
      <c r="S209" s="43"/>
      <c r="T209" s="43"/>
      <c r="U209" s="43"/>
      <c r="V209" s="43"/>
      <c r="W209" s="43"/>
      <c r="X209" s="43">
        <f t="shared" si="87"/>
        <v>1178.2495167889133</v>
      </c>
      <c r="Y209" s="43">
        <v>1177.6660000000002</v>
      </c>
      <c r="Z209" s="43">
        <f t="shared" si="89"/>
        <v>1177.6660000000002</v>
      </c>
      <c r="AA209" s="43"/>
      <c r="AB209" s="43"/>
      <c r="AC209" s="43"/>
      <c r="AD209" s="43">
        <f t="shared" si="78"/>
        <v>1177.6660000000002</v>
      </c>
      <c r="AE209" s="43">
        <v>1399.2</v>
      </c>
      <c r="AF209" s="43"/>
      <c r="AG209" s="43"/>
      <c r="AH209" s="42">
        <f t="shared" si="79"/>
        <v>1399.2</v>
      </c>
      <c r="AI209" s="41">
        <v>1254.3</v>
      </c>
      <c r="AJ209" s="40">
        <v>1169.5</v>
      </c>
      <c r="AK209" s="49">
        <v>1339</v>
      </c>
      <c r="AL209" s="39">
        <f t="shared" si="80"/>
        <v>1339</v>
      </c>
    </row>
    <row r="210" spans="1:38" s="18" customFormat="1" ht="20.399999999999999" x14ac:dyDescent="0.25">
      <c r="A210" s="46">
        <v>47110</v>
      </c>
      <c r="B210" s="45" t="s">
        <v>92</v>
      </c>
      <c r="C210" s="43">
        <f>106799.4+13750</f>
        <v>120549.4</v>
      </c>
      <c r="D210" s="43">
        <f t="shared" si="81"/>
        <v>10045.783333333333</v>
      </c>
      <c r="E210" s="43">
        <v>14551.3</v>
      </c>
      <c r="F210" s="43">
        <v>9920.5</v>
      </c>
      <c r="G210" s="43">
        <f t="shared" si="82"/>
        <v>28088.010200000001</v>
      </c>
      <c r="H210" s="44">
        <f t="shared" si="83"/>
        <v>0.13485822835729555</v>
      </c>
      <c r="I210" s="43">
        <v>8811.7999999999993</v>
      </c>
      <c r="J210" s="43"/>
      <c r="K210" s="43"/>
      <c r="L210" s="43">
        <f t="shared" si="84"/>
        <v>8811.7999999999993</v>
      </c>
      <c r="M210" s="43">
        <v>8697.5</v>
      </c>
      <c r="N210" s="43">
        <f t="shared" si="85"/>
        <v>-114.29999999999927</v>
      </c>
      <c r="O210" s="43">
        <f t="shared" si="88"/>
        <v>98.702875689416473</v>
      </c>
      <c r="P210" s="43">
        <v>31138.1</v>
      </c>
      <c r="Q210" s="44">
        <f t="shared" si="86"/>
        <v>0.12704434898835945</v>
      </c>
      <c r="R210" s="43">
        <f>6201897*Q210/100+1100</f>
        <v>8979.1596685785953</v>
      </c>
      <c r="S210" s="43"/>
      <c r="T210" s="43"/>
      <c r="U210" s="43"/>
      <c r="V210" s="43"/>
      <c r="W210" s="43"/>
      <c r="X210" s="43">
        <f t="shared" si="87"/>
        <v>8979.1596685785953</v>
      </c>
      <c r="Y210" s="43">
        <v>8972.2659999999996</v>
      </c>
      <c r="Z210" s="43">
        <f t="shared" si="89"/>
        <v>8972.2659999999996</v>
      </c>
      <c r="AA210" s="43">
        <v>3000</v>
      </c>
      <c r="AB210" s="43"/>
      <c r="AC210" s="43"/>
      <c r="AD210" s="43">
        <f t="shared" si="78"/>
        <v>11972.266</v>
      </c>
      <c r="AE210" s="43">
        <v>12700</v>
      </c>
      <c r="AF210" s="43"/>
      <c r="AG210" s="43"/>
      <c r="AH210" s="42">
        <f t="shared" si="79"/>
        <v>12700</v>
      </c>
      <c r="AI210" s="41">
        <f>9441.5+3500</f>
        <v>12941.5</v>
      </c>
      <c r="AJ210" s="40">
        <v>11291.4</v>
      </c>
      <c r="AK210" s="49">
        <v>8000</v>
      </c>
      <c r="AL210" s="39">
        <f t="shared" si="80"/>
        <v>8000</v>
      </c>
    </row>
    <row r="211" spans="1:38" s="18" customFormat="1" ht="20.399999999999999" x14ac:dyDescent="0.25">
      <c r="A211" s="46">
        <v>47120</v>
      </c>
      <c r="B211" s="45" t="s">
        <v>91</v>
      </c>
      <c r="C211" s="43">
        <f>519508.7+103700.1+8529.9</f>
        <v>631738.70000000007</v>
      </c>
      <c r="D211" s="43">
        <f t="shared" si="81"/>
        <v>52644.89166666667</v>
      </c>
      <c r="E211" s="43">
        <v>50799.4</v>
      </c>
      <c r="F211" s="43">
        <v>49722.8</v>
      </c>
      <c r="G211" s="43">
        <f t="shared" si="82"/>
        <v>147195.11710000003</v>
      </c>
      <c r="H211" s="44">
        <f t="shared" si="83"/>
        <v>0.55395376729859414</v>
      </c>
      <c r="I211" s="43">
        <v>44050.8</v>
      </c>
      <c r="J211" s="43"/>
      <c r="K211" s="43"/>
      <c r="L211" s="43">
        <f t="shared" si="84"/>
        <v>44050.8</v>
      </c>
      <c r="M211" s="43">
        <v>43996.800000000003</v>
      </c>
      <c r="N211" s="43">
        <f t="shared" si="85"/>
        <v>-54</v>
      </c>
      <c r="O211" s="43">
        <f t="shared" si="88"/>
        <v>99.877414258083846</v>
      </c>
      <c r="P211" s="43">
        <v>166278.5</v>
      </c>
      <c r="Q211" s="44">
        <f t="shared" si="86"/>
        <v>0.67842109130810579</v>
      </c>
      <c r="R211" s="43">
        <f>6201897*Q211/100+2000</f>
        <v>44074.977309204674</v>
      </c>
      <c r="S211" s="43"/>
      <c r="T211" s="43"/>
      <c r="U211" s="43"/>
      <c r="V211" s="43"/>
      <c r="W211" s="43"/>
      <c r="X211" s="43">
        <f t="shared" si="87"/>
        <v>44074.977309204674</v>
      </c>
      <c r="Y211" s="43">
        <v>50131.1</v>
      </c>
      <c r="Z211" s="43">
        <f t="shared" si="89"/>
        <v>50131.1</v>
      </c>
      <c r="AA211" s="43">
        <v>499.1</v>
      </c>
      <c r="AB211" s="43"/>
      <c r="AC211" s="43"/>
      <c r="AD211" s="43">
        <f t="shared" si="78"/>
        <v>50630.2</v>
      </c>
      <c r="AE211" s="43">
        <v>67500</v>
      </c>
      <c r="AF211" s="43"/>
      <c r="AG211" s="43"/>
      <c r="AH211" s="42">
        <f t="shared" si="79"/>
        <v>67500</v>
      </c>
      <c r="AI211" s="41">
        <v>52986.400000000001</v>
      </c>
      <c r="AJ211" s="40">
        <v>58792.2</v>
      </c>
      <c r="AK211" s="49">
        <f>55000-5000</f>
        <v>50000</v>
      </c>
      <c r="AL211" s="39">
        <f t="shared" si="80"/>
        <v>50000</v>
      </c>
    </row>
    <row r="212" spans="1:38" s="18" customFormat="1" ht="20.399999999999999" x14ac:dyDescent="0.25">
      <c r="A212" s="46">
        <v>48110</v>
      </c>
      <c r="B212" s="45" t="s">
        <v>90</v>
      </c>
      <c r="C212" s="43">
        <v>105903.3</v>
      </c>
      <c r="D212" s="43">
        <f t="shared" si="81"/>
        <v>8825.2749999999996</v>
      </c>
      <c r="E212" s="43">
        <v>13053.5</v>
      </c>
      <c r="F212" s="43">
        <v>5377.6</v>
      </c>
      <c r="G212" s="43">
        <f t="shared" si="82"/>
        <v>24675.4689</v>
      </c>
      <c r="H212" s="44">
        <f t="shared" si="83"/>
        <v>0.10156937751518687</v>
      </c>
      <c r="I212" s="43">
        <v>5398.1</v>
      </c>
      <c r="J212" s="43"/>
      <c r="K212" s="43"/>
      <c r="L212" s="43">
        <f t="shared" si="84"/>
        <v>5398.1</v>
      </c>
      <c r="M212" s="43">
        <v>1847.7</v>
      </c>
      <c r="N212" s="43">
        <f t="shared" si="85"/>
        <v>-3550.4000000000005</v>
      </c>
      <c r="O212" s="43">
        <f t="shared" si="88"/>
        <v>34.228710101702447</v>
      </c>
      <c r="P212" s="43">
        <v>23788.2</v>
      </c>
      <c r="Q212" s="44">
        <f t="shared" si="86"/>
        <v>9.7056544317247778E-2</v>
      </c>
      <c r="R212" s="43">
        <f>6201897*Q212/100</f>
        <v>6019.3469103150601</v>
      </c>
      <c r="S212" s="43">
        <v>1580</v>
      </c>
      <c r="T212" s="43"/>
      <c r="U212" s="43"/>
      <c r="V212" s="43"/>
      <c r="W212" s="43"/>
      <c r="X212" s="43">
        <f t="shared" si="87"/>
        <v>7599.3469103150601</v>
      </c>
      <c r="Y212" s="43">
        <v>6209.3329999999996</v>
      </c>
      <c r="Z212" s="43">
        <f t="shared" si="89"/>
        <v>6209.3329999999996</v>
      </c>
      <c r="AA212" s="43"/>
      <c r="AB212" s="43"/>
      <c r="AC212" s="43"/>
      <c r="AD212" s="43">
        <f t="shared" si="78"/>
        <v>6209.3329999999996</v>
      </c>
      <c r="AE212" s="43">
        <v>10229.6</v>
      </c>
      <c r="AF212" s="43">
        <v>533</v>
      </c>
      <c r="AG212" s="43"/>
      <c r="AH212" s="42">
        <f t="shared" si="79"/>
        <v>10762.6</v>
      </c>
      <c r="AI212" s="41">
        <f>7897.1+2265</f>
        <v>10162.1</v>
      </c>
      <c r="AJ212" s="40">
        <v>6196.6</v>
      </c>
      <c r="AK212" s="49">
        <v>7548.5</v>
      </c>
      <c r="AL212" s="39">
        <f t="shared" si="80"/>
        <v>7548.5</v>
      </c>
    </row>
    <row r="213" spans="1:38" s="18" customFormat="1" ht="20.399999999999999" x14ac:dyDescent="0.25">
      <c r="A213" s="46">
        <v>48120</v>
      </c>
      <c r="B213" s="45" t="s">
        <v>89</v>
      </c>
      <c r="C213" s="43">
        <v>552660.1</v>
      </c>
      <c r="D213" s="43">
        <f t="shared" si="81"/>
        <v>46055.008333333331</v>
      </c>
      <c r="E213" s="43">
        <v>61440.5</v>
      </c>
      <c r="F213" s="43">
        <v>27839.7</v>
      </c>
      <c r="G213" s="43">
        <f t="shared" si="82"/>
        <v>128769.8033</v>
      </c>
      <c r="H213" s="44">
        <f t="shared" si="83"/>
        <v>0.49200179796275789</v>
      </c>
      <c r="I213" s="43">
        <v>23405.1</v>
      </c>
      <c r="J213" s="43"/>
      <c r="K213" s="43"/>
      <c r="L213" s="43">
        <f t="shared" si="84"/>
        <v>23405.1</v>
      </c>
      <c r="M213" s="43">
        <v>22674.1</v>
      </c>
      <c r="N213" s="43">
        <f t="shared" si="85"/>
        <v>-731</v>
      </c>
      <c r="O213" s="43">
        <f t="shared" si="88"/>
        <v>96.876749084601215</v>
      </c>
      <c r="P213" s="43">
        <v>155086</v>
      </c>
      <c r="Q213" s="44">
        <f t="shared" si="86"/>
        <v>0.63275536745044547</v>
      </c>
      <c r="R213" s="43">
        <f>6201897*Q213/100-9000</f>
        <v>30242.836151248157</v>
      </c>
      <c r="S213" s="43">
        <v>7420</v>
      </c>
      <c r="T213" s="43">
        <v>13100</v>
      </c>
      <c r="U213" s="43"/>
      <c r="V213" s="43"/>
      <c r="W213" s="43"/>
      <c r="X213" s="43">
        <f t="shared" si="87"/>
        <v>50762.836151248157</v>
      </c>
      <c r="Y213" s="43">
        <v>35056.567000000003</v>
      </c>
      <c r="Z213" s="43">
        <f t="shared" si="89"/>
        <v>35056.567000000003</v>
      </c>
      <c r="AA213" s="43"/>
      <c r="AB213" s="43"/>
      <c r="AC213" s="43"/>
      <c r="AD213" s="43">
        <f t="shared" si="78"/>
        <v>35056.567000000003</v>
      </c>
      <c r="AE213" s="43">
        <f>52639-6000</f>
        <v>46639</v>
      </c>
      <c r="AF213" s="43">
        <f>972.3+17.2+6.6+200</f>
        <v>1196.0999999999999</v>
      </c>
      <c r="AG213" s="43"/>
      <c r="AH213" s="42">
        <f t="shared" si="79"/>
        <v>47835.1</v>
      </c>
      <c r="AI213" s="41">
        <f>47835.1+15851</f>
        <v>63686.1</v>
      </c>
      <c r="AJ213" s="40">
        <v>47835.1</v>
      </c>
      <c r="AK213" s="49">
        <f>89706.7-50000</f>
        <v>39706.699999999997</v>
      </c>
      <c r="AL213" s="39">
        <f t="shared" si="80"/>
        <v>39706.699999999997</v>
      </c>
    </row>
    <row r="214" spans="1:38" s="18" customFormat="1" ht="20.399999999999999" x14ac:dyDescent="0.25">
      <c r="A214" s="46">
        <v>49120</v>
      </c>
      <c r="B214" s="45" t="s">
        <v>88</v>
      </c>
      <c r="C214" s="43">
        <f>7101.3+28000</f>
        <v>35101.300000000003</v>
      </c>
      <c r="D214" s="43">
        <f t="shared" si="81"/>
        <v>2925.1083333333336</v>
      </c>
      <c r="E214" s="43">
        <v>1770.5</v>
      </c>
      <c r="F214" s="43">
        <v>8012.2</v>
      </c>
      <c r="G214" s="43">
        <f t="shared" si="82"/>
        <v>8178.6029000000008</v>
      </c>
      <c r="H214" s="44">
        <f t="shared" si="83"/>
        <v>5.3910116564818089E-2</v>
      </c>
      <c r="I214" s="43">
        <v>888.7</v>
      </c>
      <c r="J214" s="43"/>
      <c r="K214" s="43"/>
      <c r="L214" s="43">
        <f t="shared" si="84"/>
        <v>888.7</v>
      </c>
      <c r="M214" s="43">
        <v>888.7</v>
      </c>
      <c r="N214" s="43">
        <f t="shared" si="85"/>
        <v>0</v>
      </c>
      <c r="O214" s="43">
        <f t="shared" si="88"/>
        <v>100</v>
      </c>
      <c r="P214" s="43">
        <v>10111.300000000001</v>
      </c>
      <c r="Q214" s="44">
        <f t="shared" si="86"/>
        <v>4.1254396572880145E-2</v>
      </c>
      <c r="R214" s="43">
        <f>6201897*Q214/100</f>
        <v>2558.5551834215566</v>
      </c>
      <c r="S214" s="43"/>
      <c r="T214" s="43"/>
      <c r="U214" s="43"/>
      <c r="V214" s="43"/>
      <c r="W214" s="43"/>
      <c r="X214" s="43">
        <f t="shared" si="87"/>
        <v>2558.5551834215566</v>
      </c>
      <c r="Y214" s="43">
        <v>892.13299999999992</v>
      </c>
      <c r="Z214" s="43">
        <f t="shared" si="89"/>
        <v>892.13299999999992</v>
      </c>
      <c r="AA214" s="43">
        <f>5788.8-Z214</f>
        <v>4896.6670000000004</v>
      </c>
      <c r="AB214" s="43"/>
      <c r="AC214" s="43"/>
      <c r="AD214" s="43">
        <f t="shared" si="78"/>
        <v>5788.8</v>
      </c>
      <c r="AE214" s="43">
        <v>4193.6000000000004</v>
      </c>
      <c r="AF214" s="43"/>
      <c r="AG214" s="43"/>
      <c r="AH214" s="42">
        <f t="shared" si="79"/>
        <v>4193.6000000000004</v>
      </c>
      <c r="AI214" s="41">
        <v>2443.1999999999998</v>
      </c>
      <c r="AJ214" s="40">
        <v>5221.3999999999996</v>
      </c>
      <c r="AK214" s="49">
        <v>265.10000000000002</v>
      </c>
      <c r="AL214" s="39">
        <f t="shared" si="80"/>
        <v>265.10000000000002</v>
      </c>
    </row>
    <row r="215" spans="1:38" s="18" customFormat="1" ht="20.399999999999999" x14ac:dyDescent="0.25">
      <c r="A215" s="46">
        <v>50121</v>
      </c>
      <c r="B215" s="45" t="s">
        <v>87</v>
      </c>
      <c r="C215" s="43">
        <v>30396.799999999999</v>
      </c>
      <c r="D215" s="43">
        <f t="shared" si="81"/>
        <v>2533.0666666666666</v>
      </c>
      <c r="E215" s="43">
        <v>1158.2</v>
      </c>
      <c r="F215" s="43">
        <v>421.2</v>
      </c>
      <c r="G215" s="43">
        <f t="shared" si="82"/>
        <v>7082.4544000000005</v>
      </c>
      <c r="H215" s="44">
        <f t="shared" si="83"/>
        <v>8.7036951048763307E-3</v>
      </c>
      <c r="I215" s="43">
        <v>3374.9</v>
      </c>
      <c r="J215" s="43"/>
      <c r="K215" s="43"/>
      <c r="L215" s="43">
        <f t="shared" si="84"/>
        <v>3374.9</v>
      </c>
      <c r="M215" s="43">
        <v>3277.3</v>
      </c>
      <c r="N215" s="43">
        <f t="shared" si="85"/>
        <v>-97.599999999999909</v>
      </c>
      <c r="O215" s="43">
        <f t="shared" si="88"/>
        <v>97.108062461109952</v>
      </c>
      <c r="P215" s="43">
        <v>8567.9000000000015</v>
      </c>
      <c r="Q215" s="44">
        <f t="shared" si="86"/>
        <v>3.4957279914232572E-2</v>
      </c>
      <c r="R215" s="43">
        <f>6201897*Q215/100</f>
        <v>2168.0144942823927</v>
      </c>
      <c r="S215" s="43"/>
      <c r="T215" s="43"/>
      <c r="U215" s="43"/>
      <c r="V215" s="43"/>
      <c r="W215" s="43"/>
      <c r="X215" s="43">
        <f t="shared" si="87"/>
        <v>2168.0144942823927</v>
      </c>
      <c r="Y215" s="43">
        <v>1032.567</v>
      </c>
      <c r="Z215" s="43">
        <f t="shared" si="89"/>
        <v>1032.567</v>
      </c>
      <c r="AA215" s="43"/>
      <c r="AB215" s="43"/>
      <c r="AC215" s="43"/>
      <c r="AD215" s="43">
        <f t="shared" si="78"/>
        <v>1032.567</v>
      </c>
      <c r="AE215" s="43">
        <v>1326.2</v>
      </c>
      <c r="AF215" s="43"/>
      <c r="AG215" s="43"/>
      <c r="AH215" s="42">
        <f t="shared" si="79"/>
        <v>1326.2</v>
      </c>
      <c r="AI215" s="41">
        <v>1326.2</v>
      </c>
      <c r="AJ215" s="40">
        <v>2405.9</v>
      </c>
      <c r="AK215" s="49">
        <f>2500-1300</f>
        <v>1200</v>
      </c>
      <c r="AL215" s="39">
        <f t="shared" si="80"/>
        <v>1200</v>
      </c>
    </row>
    <row r="216" spans="1:38" s="18" customFormat="1" ht="30.6" x14ac:dyDescent="0.25">
      <c r="A216" s="46">
        <v>51110</v>
      </c>
      <c r="B216" s="45" t="s">
        <v>86</v>
      </c>
      <c r="C216" s="43">
        <v>34999.300000000003</v>
      </c>
      <c r="D216" s="43">
        <f t="shared" si="81"/>
        <v>2916.6083333333336</v>
      </c>
      <c r="E216" s="43">
        <v>1906.7</v>
      </c>
      <c r="F216" s="43">
        <v>2413.6999999999998</v>
      </c>
      <c r="G216" s="43">
        <f t="shared" si="82"/>
        <v>8154.8369000000002</v>
      </c>
      <c r="H216" s="44">
        <f t="shared" si="83"/>
        <v>2.3808689585353742E-2</v>
      </c>
      <c r="I216" s="43">
        <f>7990664.7*H216/100+300</f>
        <v>2202.4725542294382</v>
      </c>
      <c r="J216" s="43"/>
      <c r="K216" s="43"/>
      <c r="L216" s="43">
        <f t="shared" si="84"/>
        <v>2202.4725542294382</v>
      </c>
      <c r="M216" s="43">
        <v>2202.5</v>
      </c>
      <c r="N216" s="43">
        <f t="shared" si="85"/>
        <v>2.7445770561826066E-2</v>
      </c>
      <c r="O216" s="43">
        <f t="shared" si="88"/>
        <v>100.00124613450956</v>
      </c>
      <c r="P216" s="43">
        <v>9741.4000000000015</v>
      </c>
      <c r="Q216" s="44">
        <f t="shared" si="86"/>
        <v>3.9745193869735317E-2</v>
      </c>
      <c r="R216" s="43">
        <f>6201897*Q216/100</f>
        <v>2464.9559862512983</v>
      </c>
      <c r="S216" s="43"/>
      <c r="T216" s="43"/>
      <c r="U216" s="43"/>
      <c r="V216" s="43"/>
      <c r="W216" s="43"/>
      <c r="X216" s="43">
        <f t="shared" si="87"/>
        <v>2464.9559862512983</v>
      </c>
      <c r="Y216" s="43">
        <v>1618.8330000000001</v>
      </c>
      <c r="Z216" s="43">
        <f t="shared" si="89"/>
        <v>1618.8330000000001</v>
      </c>
      <c r="AA216" s="43"/>
      <c r="AB216" s="43"/>
      <c r="AC216" s="43"/>
      <c r="AD216" s="43">
        <f t="shared" si="78"/>
        <v>1618.8330000000001</v>
      </c>
      <c r="AE216" s="43">
        <v>2270.1</v>
      </c>
      <c r="AF216" s="43"/>
      <c r="AG216" s="43"/>
      <c r="AH216" s="42">
        <f t="shared" si="79"/>
        <v>2270.1</v>
      </c>
      <c r="AI216" s="41">
        <v>2032</v>
      </c>
      <c r="AJ216" s="40">
        <v>2785.1</v>
      </c>
      <c r="AK216" s="49">
        <f>2841.4-1200</f>
        <v>1641.4</v>
      </c>
      <c r="AL216" s="39">
        <f t="shared" si="80"/>
        <v>1641.4</v>
      </c>
    </row>
    <row r="217" spans="1:38" s="18" customFormat="1" ht="30.6" x14ac:dyDescent="0.25">
      <c r="A217" s="48">
        <v>51910</v>
      </c>
      <c r="B217" s="45" t="s">
        <v>85</v>
      </c>
      <c r="C217" s="43">
        <v>32604.2</v>
      </c>
      <c r="D217" s="43">
        <f t="shared" si="81"/>
        <v>2717.0166666666669</v>
      </c>
      <c r="E217" s="43"/>
      <c r="F217" s="43"/>
      <c r="G217" s="43">
        <f t="shared" si="82"/>
        <v>7596.7785999999996</v>
      </c>
      <c r="H217" s="44">
        <f t="shared" si="83"/>
        <v>0</v>
      </c>
      <c r="I217" s="43">
        <f>7990664.7*H217/100</f>
        <v>0</v>
      </c>
      <c r="J217" s="43"/>
      <c r="K217" s="43"/>
      <c r="L217" s="43">
        <f t="shared" si="84"/>
        <v>0</v>
      </c>
      <c r="M217" s="43">
        <v>0</v>
      </c>
      <c r="N217" s="43">
        <f t="shared" si="85"/>
        <v>0</v>
      </c>
      <c r="O217" s="43"/>
      <c r="P217" s="43">
        <v>0</v>
      </c>
      <c r="Q217" s="44">
        <f t="shared" si="86"/>
        <v>0</v>
      </c>
      <c r="R217" s="43">
        <f>6201897*Q217/100</f>
        <v>0</v>
      </c>
      <c r="S217" s="43"/>
      <c r="T217" s="43"/>
      <c r="U217" s="43"/>
      <c r="V217" s="43"/>
      <c r="W217" s="43"/>
      <c r="X217" s="43">
        <f t="shared" si="87"/>
        <v>0</v>
      </c>
      <c r="Y217" s="43"/>
      <c r="Z217" s="43">
        <f t="shared" si="89"/>
        <v>0</v>
      </c>
      <c r="AA217" s="43"/>
      <c r="AB217" s="43"/>
      <c r="AC217" s="43"/>
      <c r="AD217" s="43">
        <f t="shared" si="78"/>
        <v>0</v>
      </c>
      <c r="AE217" s="43"/>
      <c r="AF217" s="43"/>
      <c r="AG217" s="43"/>
      <c r="AH217" s="42">
        <f t="shared" si="79"/>
        <v>0</v>
      </c>
      <c r="AI217" s="41"/>
      <c r="AJ217" s="40">
        <v>0</v>
      </c>
      <c r="AK217" s="49"/>
      <c r="AL217" s="39">
        <f t="shared" si="80"/>
        <v>0</v>
      </c>
    </row>
    <row r="218" spans="1:38" s="18" customFormat="1" ht="26.25" customHeight="1" x14ac:dyDescent="0.25">
      <c r="A218" s="46">
        <v>52110</v>
      </c>
      <c r="B218" s="45" t="s">
        <v>84</v>
      </c>
      <c r="C218" s="43">
        <v>16975.2</v>
      </c>
      <c r="D218" s="43">
        <f t="shared" si="81"/>
        <v>1414.6000000000001</v>
      </c>
      <c r="E218" s="43">
        <v>1247</v>
      </c>
      <c r="F218" s="43">
        <v>1247</v>
      </c>
      <c r="G218" s="43">
        <f t="shared" si="82"/>
        <v>3955.2216000000003</v>
      </c>
      <c r="H218" s="44">
        <f t="shared" si="83"/>
        <v>1.3743836641485102E-2</v>
      </c>
      <c r="I218" s="43">
        <v>1377.5</v>
      </c>
      <c r="J218" s="43"/>
      <c r="K218" s="43"/>
      <c r="L218" s="43">
        <f t="shared" si="84"/>
        <v>1377.5</v>
      </c>
      <c r="M218" s="43">
        <v>1377.5</v>
      </c>
      <c r="N218" s="43">
        <f t="shared" si="85"/>
        <v>0</v>
      </c>
      <c r="O218" s="43">
        <f t="shared" ref="O218:O241" si="90">M218/L218*100</f>
        <v>100</v>
      </c>
      <c r="P218" s="43">
        <v>4452.3999999999996</v>
      </c>
      <c r="Q218" s="44">
        <f t="shared" si="86"/>
        <v>1.816592083125726E-2</v>
      </c>
      <c r="R218" s="43">
        <f>6201897*Q218/100+100</f>
        <v>1226.631699056119</v>
      </c>
      <c r="S218" s="43"/>
      <c r="T218" s="43"/>
      <c r="U218" s="43"/>
      <c r="V218" s="43"/>
      <c r="W218" s="43"/>
      <c r="X218" s="43">
        <f t="shared" si="87"/>
        <v>1226.631699056119</v>
      </c>
      <c r="Y218" s="43">
        <v>1204.2339999999999</v>
      </c>
      <c r="Z218" s="43">
        <f t="shared" si="89"/>
        <v>1204.2339999999999</v>
      </c>
      <c r="AA218" s="43"/>
      <c r="AB218" s="43"/>
      <c r="AC218" s="43"/>
      <c r="AD218" s="43">
        <f t="shared" si="78"/>
        <v>1204.2339999999999</v>
      </c>
      <c r="AE218" s="43">
        <f>1867.2-500</f>
        <v>1367.2</v>
      </c>
      <c r="AF218" s="43"/>
      <c r="AG218" s="43"/>
      <c r="AH218" s="42">
        <f t="shared" si="79"/>
        <v>1367.2</v>
      </c>
      <c r="AI218" s="41">
        <v>1430.8</v>
      </c>
      <c r="AJ218" s="40">
        <v>1463.9</v>
      </c>
      <c r="AK218" s="49">
        <f>2385.8-1000</f>
        <v>1385.8000000000002</v>
      </c>
      <c r="AL218" s="39">
        <f t="shared" si="80"/>
        <v>1385.8000000000002</v>
      </c>
    </row>
    <row r="219" spans="1:38" s="18" customFormat="1" ht="22.5" customHeight="1" x14ac:dyDescent="0.25">
      <c r="A219" s="46">
        <v>52120</v>
      </c>
      <c r="B219" s="45" t="s">
        <v>83</v>
      </c>
      <c r="C219" s="43">
        <v>351596.79999999999</v>
      </c>
      <c r="D219" s="43">
        <f t="shared" si="81"/>
        <v>29299.733333333334</v>
      </c>
      <c r="E219" s="43">
        <v>26928.1</v>
      </c>
      <c r="F219" s="43">
        <v>28549.5</v>
      </c>
      <c r="G219" s="43">
        <f t="shared" si="82"/>
        <v>81922.054400000008</v>
      </c>
      <c r="H219" s="44">
        <f t="shared" si="83"/>
        <v>0.30572376570234716</v>
      </c>
      <c r="I219" s="43">
        <v>27490</v>
      </c>
      <c r="J219" s="43"/>
      <c r="K219" s="43"/>
      <c r="L219" s="43">
        <f t="shared" si="84"/>
        <v>27490</v>
      </c>
      <c r="M219" s="43">
        <v>26295</v>
      </c>
      <c r="N219" s="43">
        <f t="shared" si="85"/>
        <v>-1195</v>
      </c>
      <c r="O219" s="43">
        <f t="shared" si="90"/>
        <v>95.652964714441609</v>
      </c>
      <c r="P219" s="43">
        <v>90919.400000000009</v>
      </c>
      <c r="Q219" s="44">
        <f t="shared" si="86"/>
        <v>0.37095378277455116</v>
      </c>
      <c r="R219" s="43">
        <f>6201897*Q219/100+3000</f>
        <v>26006.171525281407</v>
      </c>
      <c r="S219" s="43"/>
      <c r="T219" s="43"/>
      <c r="U219" s="43">
        <v>7500</v>
      </c>
      <c r="V219" s="43"/>
      <c r="W219" s="43"/>
      <c r="X219" s="43">
        <f t="shared" si="87"/>
        <v>33506.171525281403</v>
      </c>
      <c r="Y219" s="43">
        <v>27219.633999999998</v>
      </c>
      <c r="Z219" s="43">
        <f t="shared" si="89"/>
        <v>27219.633999999998</v>
      </c>
      <c r="AA219" s="43"/>
      <c r="AB219" s="43">
        <v>2992.7</v>
      </c>
      <c r="AC219" s="43"/>
      <c r="AD219" s="43">
        <f t="shared" si="78"/>
        <v>30212.333999999999</v>
      </c>
      <c r="AE219" s="43">
        <v>27577.200000000001</v>
      </c>
      <c r="AF219" s="43"/>
      <c r="AG219" s="43"/>
      <c r="AH219" s="42">
        <f t="shared" si="79"/>
        <v>27577.200000000001</v>
      </c>
      <c r="AI219" s="41">
        <v>27132.6</v>
      </c>
      <c r="AJ219" s="40">
        <v>29045.1</v>
      </c>
      <c r="AK219" s="49">
        <f>35073.3-5000</f>
        <v>30073.300000000003</v>
      </c>
      <c r="AL219" s="39">
        <f t="shared" si="80"/>
        <v>30073.300000000003</v>
      </c>
    </row>
    <row r="220" spans="1:38" s="18" customFormat="1" ht="20.399999999999999" x14ac:dyDescent="0.25">
      <c r="A220" s="46">
        <v>53110</v>
      </c>
      <c r="B220" s="45" t="s">
        <v>82</v>
      </c>
      <c r="C220" s="43">
        <v>30377.5</v>
      </c>
      <c r="D220" s="43">
        <f t="shared" si="81"/>
        <v>2531.4583333333335</v>
      </c>
      <c r="E220" s="43">
        <v>2490.9</v>
      </c>
      <c r="F220" s="43">
        <v>2378.5</v>
      </c>
      <c r="G220" s="43">
        <f t="shared" si="82"/>
        <v>7077.9575000000004</v>
      </c>
      <c r="H220" s="44">
        <f t="shared" si="83"/>
        <v>2.6834097089834627E-2</v>
      </c>
      <c r="I220" s="43">
        <v>2170.5</v>
      </c>
      <c r="J220" s="43"/>
      <c r="K220" s="43"/>
      <c r="L220" s="43">
        <f t="shared" si="84"/>
        <v>2170.5</v>
      </c>
      <c r="M220" s="43">
        <v>2170.5</v>
      </c>
      <c r="N220" s="43">
        <f t="shared" si="85"/>
        <v>0</v>
      </c>
      <c r="O220" s="43">
        <f t="shared" si="90"/>
        <v>100</v>
      </c>
      <c r="P220" s="43">
        <v>8028.9</v>
      </c>
      <c r="Q220" s="44">
        <f t="shared" si="86"/>
        <v>3.2758144318138845E-2</v>
      </c>
      <c r="R220" s="43">
        <f>6201897*Q220/100+100</f>
        <v>2131.6263697223235</v>
      </c>
      <c r="S220" s="43">
        <v>58217</v>
      </c>
      <c r="T220" s="43"/>
      <c r="U220" s="43"/>
      <c r="V220" s="43"/>
      <c r="W220" s="43"/>
      <c r="X220" s="43">
        <f t="shared" si="87"/>
        <v>60348.626369722326</v>
      </c>
      <c r="Y220" s="43">
        <v>2017.8</v>
      </c>
      <c r="Z220" s="43">
        <f t="shared" si="89"/>
        <v>2017.8</v>
      </c>
      <c r="AA220" s="43"/>
      <c r="AB220" s="43"/>
      <c r="AC220" s="43"/>
      <c r="AD220" s="43">
        <f t="shared" si="78"/>
        <v>2017.8</v>
      </c>
      <c r="AE220" s="43">
        <v>2862.4</v>
      </c>
      <c r="AF220" s="43"/>
      <c r="AG220" s="43"/>
      <c r="AH220" s="42">
        <f t="shared" si="79"/>
        <v>2862.4</v>
      </c>
      <c r="AI220" s="41">
        <v>2862.4</v>
      </c>
      <c r="AJ220" s="49">
        <v>28602.2</v>
      </c>
      <c r="AK220" s="49">
        <f>18637.1-16000</f>
        <v>2637.0999999999985</v>
      </c>
      <c r="AL220" s="39">
        <f t="shared" si="80"/>
        <v>2637.0999999999985</v>
      </c>
    </row>
    <row r="221" spans="1:38" s="18" customFormat="1" ht="20.399999999999999" x14ac:dyDescent="0.25">
      <c r="A221" s="46">
        <v>53120</v>
      </c>
      <c r="B221" s="45" t="s">
        <v>81</v>
      </c>
      <c r="C221" s="43">
        <v>149008</v>
      </c>
      <c r="D221" s="43">
        <f t="shared" si="81"/>
        <v>12417.333333333334</v>
      </c>
      <c r="E221" s="43">
        <v>12475.3</v>
      </c>
      <c r="F221" s="43">
        <v>12273.7</v>
      </c>
      <c r="G221" s="43">
        <f t="shared" si="82"/>
        <v>34718.864000000001</v>
      </c>
      <c r="H221" s="44">
        <f t="shared" si="83"/>
        <v>0.13638581116283674</v>
      </c>
      <c r="I221" s="43">
        <v>10501.2</v>
      </c>
      <c r="J221" s="43"/>
      <c r="K221" s="43"/>
      <c r="L221" s="43">
        <f t="shared" si="84"/>
        <v>10501.2</v>
      </c>
      <c r="M221" s="43">
        <v>10247.1</v>
      </c>
      <c r="N221" s="43">
        <f t="shared" si="85"/>
        <v>-254.10000000000036</v>
      </c>
      <c r="O221" s="43">
        <f t="shared" si="90"/>
        <v>97.580276539824013</v>
      </c>
      <c r="P221" s="43">
        <v>38677.100000000006</v>
      </c>
      <c r="Q221" s="44">
        <f t="shared" si="86"/>
        <v>0.15780368713112486</v>
      </c>
      <c r="R221" s="43">
        <f>6201897*Q221/100+400</f>
        <v>10186.822138074618</v>
      </c>
      <c r="S221" s="43"/>
      <c r="T221" s="43"/>
      <c r="U221" s="43"/>
      <c r="V221" s="43"/>
      <c r="W221" s="43"/>
      <c r="X221" s="43">
        <f t="shared" si="87"/>
        <v>10186.822138074618</v>
      </c>
      <c r="Y221" s="43">
        <v>11321.699999999999</v>
      </c>
      <c r="Z221" s="43">
        <f t="shared" si="89"/>
        <v>11321.699999999999</v>
      </c>
      <c r="AA221" s="43">
        <v>100</v>
      </c>
      <c r="AB221" s="43"/>
      <c r="AC221" s="43"/>
      <c r="AD221" s="43">
        <f t="shared" si="78"/>
        <v>11421.699999999999</v>
      </c>
      <c r="AE221" s="43">
        <v>13602.8</v>
      </c>
      <c r="AF221" s="43"/>
      <c r="AG221" s="43"/>
      <c r="AH221" s="42">
        <f t="shared" si="79"/>
        <v>13602.8</v>
      </c>
      <c r="AI221" s="41">
        <v>13188.3</v>
      </c>
      <c r="AJ221" s="40">
        <v>12142.2</v>
      </c>
      <c r="AK221" s="49">
        <f>15572-4000</f>
        <v>11572</v>
      </c>
      <c r="AL221" s="39">
        <f t="shared" si="80"/>
        <v>11572</v>
      </c>
    </row>
    <row r="222" spans="1:38" s="18" customFormat="1" ht="14.25" customHeight="1" x14ac:dyDescent="0.25">
      <c r="A222" s="46">
        <v>53310</v>
      </c>
      <c r="B222" s="45" t="s">
        <v>80</v>
      </c>
      <c r="C222" s="43">
        <v>55025.4</v>
      </c>
      <c r="D222" s="43">
        <f t="shared" si="81"/>
        <v>4585.45</v>
      </c>
      <c r="E222" s="43">
        <v>4119.3999999999996</v>
      </c>
      <c r="F222" s="43">
        <v>3789.9</v>
      </c>
      <c r="G222" s="43">
        <f t="shared" si="82"/>
        <v>12820.9182</v>
      </c>
      <c r="H222" s="44">
        <f t="shared" si="83"/>
        <v>4.358625787830718E-2</v>
      </c>
      <c r="I222" s="43">
        <v>4842.5</v>
      </c>
      <c r="J222" s="43"/>
      <c r="K222" s="43"/>
      <c r="L222" s="43">
        <f t="shared" si="84"/>
        <v>4842.5</v>
      </c>
      <c r="M222" s="43">
        <v>4842.5</v>
      </c>
      <c r="N222" s="43">
        <f t="shared" si="85"/>
        <v>0</v>
      </c>
      <c r="O222" s="43">
        <f t="shared" si="90"/>
        <v>100</v>
      </c>
      <c r="P222" s="43">
        <v>15062.8</v>
      </c>
      <c r="Q222" s="44">
        <f t="shared" si="86"/>
        <v>6.1456659845715092E-2</v>
      </c>
      <c r="R222" s="43">
        <f>6201897*Q222/100</f>
        <v>3811.4787432716089</v>
      </c>
      <c r="S222" s="43"/>
      <c r="T222" s="43"/>
      <c r="U222" s="43"/>
      <c r="V222" s="43"/>
      <c r="W222" s="43"/>
      <c r="X222" s="43">
        <f t="shared" si="87"/>
        <v>3811.4787432716089</v>
      </c>
      <c r="Y222" s="43">
        <v>4047.4319999999998</v>
      </c>
      <c r="Z222" s="43">
        <f t="shared" si="89"/>
        <v>4047.4319999999998</v>
      </c>
      <c r="AA222" s="43"/>
      <c r="AB222" s="43"/>
      <c r="AC222" s="43"/>
      <c r="AD222" s="43">
        <f t="shared" si="78"/>
        <v>4047.4319999999998</v>
      </c>
      <c r="AE222" s="43">
        <v>7203.9</v>
      </c>
      <c r="AF222" s="43"/>
      <c r="AG222" s="43"/>
      <c r="AH222" s="42">
        <f t="shared" si="79"/>
        <v>7203.9</v>
      </c>
      <c r="AI222" s="41">
        <v>4496.3</v>
      </c>
      <c r="AJ222" s="40">
        <v>5061.8999999999996</v>
      </c>
      <c r="AK222" s="49">
        <f>4205.7-400</f>
        <v>3805.7</v>
      </c>
      <c r="AL222" s="39">
        <f t="shared" si="80"/>
        <v>3805.7</v>
      </c>
    </row>
    <row r="223" spans="1:38" s="18" customFormat="1" ht="13.5" customHeight="1" x14ac:dyDescent="0.25">
      <c r="A223" s="46">
        <v>53320</v>
      </c>
      <c r="B223" s="45" t="s">
        <v>79</v>
      </c>
      <c r="C223" s="43">
        <v>150069.4</v>
      </c>
      <c r="D223" s="43">
        <f t="shared" si="81"/>
        <v>12505.783333333333</v>
      </c>
      <c r="E223" s="43">
        <v>10424.9</v>
      </c>
      <c r="F223" s="43">
        <v>12393.3</v>
      </c>
      <c r="G223" s="43">
        <f t="shared" si="82"/>
        <v>34966.1702</v>
      </c>
      <c r="H223" s="44">
        <f t="shared" si="83"/>
        <v>0.12574563482467335</v>
      </c>
      <c r="I223" s="43">
        <v>12029.6</v>
      </c>
      <c r="J223" s="43"/>
      <c r="K223" s="43"/>
      <c r="L223" s="43">
        <f t="shared" si="84"/>
        <v>12029.6</v>
      </c>
      <c r="M223" s="43">
        <v>12029.6</v>
      </c>
      <c r="N223" s="43">
        <f t="shared" si="85"/>
        <v>0</v>
      </c>
      <c r="O223" s="43">
        <f t="shared" si="90"/>
        <v>100</v>
      </c>
      <c r="P223" s="43">
        <v>38729.599999999991</v>
      </c>
      <c r="Q223" s="44">
        <f t="shared" si="86"/>
        <v>0.15801788865022484</v>
      </c>
      <c r="R223" s="43">
        <f>6201897*Q223/100+2200</f>
        <v>12000.106695661634</v>
      </c>
      <c r="S223" s="43"/>
      <c r="T223" s="43"/>
      <c r="U223" s="43"/>
      <c r="V223" s="43"/>
      <c r="W223" s="43"/>
      <c r="X223" s="43">
        <f t="shared" si="87"/>
        <v>12000.106695661634</v>
      </c>
      <c r="Y223" s="43">
        <v>10860.432999999999</v>
      </c>
      <c r="Z223" s="43">
        <f t="shared" si="89"/>
        <v>10860.432999999999</v>
      </c>
      <c r="AA223" s="43"/>
      <c r="AB223" s="43"/>
      <c r="AC223" s="43"/>
      <c r="AD223" s="43">
        <f t="shared" ref="AD223:AD241" si="91">SUM(Z223:AC223)</f>
        <v>10860.432999999999</v>
      </c>
      <c r="AE223" s="43">
        <v>13360.3</v>
      </c>
      <c r="AF223" s="43"/>
      <c r="AG223" s="43"/>
      <c r="AH223" s="42">
        <f t="shared" ref="AH223:AH241" si="92">AE223+AF223+AG223</f>
        <v>13360.3</v>
      </c>
      <c r="AI223" s="41">
        <v>12208.3</v>
      </c>
      <c r="AJ223" s="40">
        <v>11583.7</v>
      </c>
      <c r="AK223" s="49">
        <f>14927.2-3000</f>
        <v>11927.2</v>
      </c>
      <c r="AL223" s="39">
        <f t="shared" si="80"/>
        <v>11927.2</v>
      </c>
    </row>
    <row r="224" spans="1:38" s="18" customFormat="1" ht="24" customHeight="1" x14ac:dyDescent="0.25">
      <c r="A224" s="46">
        <v>54110</v>
      </c>
      <c r="B224" s="45" t="s">
        <v>78</v>
      </c>
      <c r="C224" s="43">
        <v>88411.6</v>
      </c>
      <c r="D224" s="43">
        <f t="shared" si="81"/>
        <v>7367.6333333333341</v>
      </c>
      <c r="E224" s="43">
        <v>3174</v>
      </c>
      <c r="F224" s="43">
        <v>5825.3</v>
      </c>
      <c r="G224" s="43">
        <f t="shared" si="82"/>
        <v>20599.902800000003</v>
      </c>
      <c r="H224" s="44">
        <f t="shared" si="83"/>
        <v>4.9592986803414944E-2</v>
      </c>
      <c r="I224" s="43">
        <v>6387.7</v>
      </c>
      <c r="J224" s="43"/>
      <c r="K224" s="43"/>
      <c r="L224" s="43">
        <f t="shared" si="84"/>
        <v>6387.7</v>
      </c>
      <c r="M224" s="43">
        <v>4733.2</v>
      </c>
      <c r="N224" s="43">
        <f t="shared" si="85"/>
        <v>-1654.5</v>
      </c>
      <c r="O224" s="43">
        <f t="shared" si="90"/>
        <v>74.098658359033763</v>
      </c>
      <c r="P224" s="43">
        <v>17931</v>
      </c>
      <c r="Q224" s="44">
        <f t="shared" si="86"/>
        <v>7.3158998837767039E-2</v>
      </c>
      <c r="R224" s="43">
        <f>6201897*Q224/100</f>
        <v>4537.2457541495087</v>
      </c>
      <c r="S224" s="43">
        <f>1374.4-1374.4</f>
        <v>0</v>
      </c>
      <c r="T224" s="43">
        <v>725.1</v>
      </c>
      <c r="U224" s="43"/>
      <c r="V224" s="43"/>
      <c r="W224" s="43"/>
      <c r="X224" s="43">
        <f t="shared" si="87"/>
        <v>5262.345754149509</v>
      </c>
      <c r="Y224" s="43">
        <v>3540.9660000000003</v>
      </c>
      <c r="Z224" s="43">
        <f t="shared" si="89"/>
        <v>3540.9660000000003</v>
      </c>
      <c r="AA224" s="43"/>
      <c r="AB224" s="43"/>
      <c r="AC224" s="43"/>
      <c r="AD224" s="43">
        <f t="shared" si="91"/>
        <v>3540.9660000000003</v>
      </c>
      <c r="AE224" s="43">
        <v>4360.7</v>
      </c>
      <c r="AF224" s="43">
        <v>2604.4</v>
      </c>
      <c r="AG224" s="43"/>
      <c r="AH224" s="42">
        <f t="shared" si="92"/>
        <v>6965.1</v>
      </c>
      <c r="AI224" s="41">
        <f>4887.3+2236.1</f>
        <v>7123.4</v>
      </c>
      <c r="AJ224" s="40">
        <v>5802.6</v>
      </c>
      <c r="AK224" s="49">
        <f>6392.5-500</f>
        <v>5892.5</v>
      </c>
      <c r="AL224" s="39">
        <f t="shared" si="80"/>
        <v>5892.5</v>
      </c>
    </row>
    <row r="225" spans="1:38" s="18" customFormat="1" ht="24.75" customHeight="1" x14ac:dyDescent="0.25">
      <c r="A225" s="46">
        <v>54120</v>
      </c>
      <c r="B225" s="45" t="s">
        <v>77</v>
      </c>
      <c r="C225" s="43">
        <v>130236.2</v>
      </c>
      <c r="D225" s="43">
        <f t="shared" si="81"/>
        <v>10853.016666666666</v>
      </c>
      <c r="E225" s="43">
        <v>9020</v>
      </c>
      <c r="F225" s="43">
        <v>11296.6</v>
      </c>
      <c r="G225" s="43">
        <f t="shared" si="82"/>
        <v>30345.034599999999</v>
      </c>
      <c r="H225" s="44">
        <f t="shared" si="83"/>
        <v>0.11195991640352695</v>
      </c>
      <c r="I225" s="43">
        <v>9208.7000000000007</v>
      </c>
      <c r="J225" s="43"/>
      <c r="K225" s="43"/>
      <c r="L225" s="43">
        <f t="shared" si="84"/>
        <v>9208.7000000000007</v>
      </c>
      <c r="M225" s="43">
        <v>9208.7000000000007</v>
      </c>
      <c r="N225" s="43">
        <f t="shared" si="85"/>
        <v>0</v>
      </c>
      <c r="O225" s="43">
        <f t="shared" si="90"/>
        <v>100</v>
      </c>
      <c r="P225" s="43">
        <v>41326.799999999996</v>
      </c>
      <c r="Q225" s="44">
        <f t="shared" si="86"/>
        <v>0.16861453980082708</v>
      </c>
      <c r="R225" s="43">
        <f>6201897*Q225/100</f>
        <v>10457.300085471301</v>
      </c>
      <c r="S225" s="43">
        <f>3285.1-3285.1</f>
        <v>0</v>
      </c>
      <c r="T225" s="43">
        <v>2745.9</v>
      </c>
      <c r="U225" s="43"/>
      <c r="V225" s="43"/>
      <c r="W225" s="43"/>
      <c r="X225" s="43">
        <f t="shared" si="87"/>
        <v>13203.200085471301</v>
      </c>
      <c r="Y225" s="43">
        <v>9634.5319999999992</v>
      </c>
      <c r="Z225" s="43">
        <f t="shared" si="89"/>
        <v>9634.5319999999992</v>
      </c>
      <c r="AA225" s="43"/>
      <c r="AB225" s="43"/>
      <c r="AC225" s="43"/>
      <c r="AD225" s="43">
        <f t="shared" si="91"/>
        <v>9634.5319999999992</v>
      </c>
      <c r="AE225" s="43">
        <v>13467.1</v>
      </c>
      <c r="AF225" s="43"/>
      <c r="AG225" s="43"/>
      <c r="AH225" s="42">
        <f t="shared" si="92"/>
        <v>13467.1</v>
      </c>
      <c r="AI225" s="41">
        <f>11357.2+4730.9</f>
        <v>16088.1</v>
      </c>
      <c r="AJ225" s="40">
        <v>12759</v>
      </c>
      <c r="AK225" s="49">
        <f>15647.4-3000</f>
        <v>12647.4</v>
      </c>
      <c r="AL225" s="39">
        <f t="shared" si="80"/>
        <v>12647.4</v>
      </c>
    </row>
    <row r="226" spans="1:38" s="18" customFormat="1" ht="20.399999999999999" x14ac:dyDescent="0.25">
      <c r="A226" s="46">
        <v>55110</v>
      </c>
      <c r="B226" s="50" t="s">
        <v>76</v>
      </c>
      <c r="C226" s="43">
        <v>28093</v>
      </c>
      <c r="D226" s="43">
        <f t="shared" si="81"/>
        <v>2341.0833333333335</v>
      </c>
      <c r="E226" s="43">
        <v>1858</v>
      </c>
      <c r="F226" s="43">
        <v>2247.5</v>
      </c>
      <c r="G226" s="43">
        <f t="shared" si="82"/>
        <v>6545.6689999999999</v>
      </c>
      <c r="H226" s="44">
        <f t="shared" si="83"/>
        <v>2.2624427157825616E-2</v>
      </c>
      <c r="I226" s="43">
        <f>7990664.7*H226/100+200</f>
        <v>2007.8421144775848</v>
      </c>
      <c r="J226" s="43"/>
      <c r="K226" s="43"/>
      <c r="L226" s="43">
        <f t="shared" si="84"/>
        <v>2007.8421144775848</v>
      </c>
      <c r="M226" s="43">
        <v>2007.8</v>
      </c>
      <c r="N226" s="43">
        <f t="shared" si="85"/>
        <v>-4.2114477584846099E-2</v>
      </c>
      <c r="O226" s="43">
        <f t="shared" si="90"/>
        <v>99.997902500536213</v>
      </c>
      <c r="P226" s="43">
        <v>7207.5</v>
      </c>
      <c r="Q226" s="44">
        <f t="shared" si="86"/>
        <v>2.9406808550733698E-2</v>
      </c>
      <c r="R226" s="43">
        <f>6201897*Q226/100</f>
        <v>1823.7799773036968</v>
      </c>
      <c r="S226" s="43"/>
      <c r="T226" s="43"/>
      <c r="U226" s="43"/>
      <c r="V226" s="43"/>
      <c r="W226" s="43"/>
      <c r="X226" s="43">
        <f t="shared" si="87"/>
        <v>1823.7799773036968</v>
      </c>
      <c r="Y226" s="43">
        <v>1773.799</v>
      </c>
      <c r="Z226" s="43">
        <f t="shared" si="89"/>
        <v>1773.799</v>
      </c>
      <c r="AA226" s="43"/>
      <c r="AB226" s="43"/>
      <c r="AC226" s="43">
        <v>3092.4</v>
      </c>
      <c r="AD226" s="43">
        <f t="shared" si="91"/>
        <v>4866.1990000000005</v>
      </c>
      <c r="AE226" s="43">
        <v>2561.6</v>
      </c>
      <c r="AF226" s="43">
        <v>1490.1</v>
      </c>
      <c r="AG226" s="43"/>
      <c r="AH226" s="42">
        <f t="shared" si="92"/>
        <v>4051.7</v>
      </c>
      <c r="AI226" s="41">
        <v>2577</v>
      </c>
      <c r="AJ226" s="40">
        <v>6623.4</v>
      </c>
      <c r="AK226" s="49">
        <f>14055.6-7000-1000</f>
        <v>6055.6</v>
      </c>
      <c r="AL226" s="39">
        <f t="shared" si="80"/>
        <v>6055.6</v>
      </c>
    </row>
    <row r="227" spans="1:38" s="18" customFormat="1" ht="23.25" customHeight="1" x14ac:dyDescent="0.25">
      <c r="A227" s="46">
        <v>55120</v>
      </c>
      <c r="B227" s="50" t="s">
        <v>75</v>
      </c>
      <c r="C227" s="43">
        <v>35503.300000000003</v>
      </c>
      <c r="D227" s="43">
        <f t="shared" si="81"/>
        <v>2958.6083333333336</v>
      </c>
      <c r="E227" s="43"/>
      <c r="F227" s="43"/>
      <c r="G227" s="43">
        <f t="shared" si="82"/>
        <v>8272.2689000000009</v>
      </c>
      <c r="H227" s="44">
        <f t="shared" si="83"/>
        <v>0</v>
      </c>
      <c r="I227" s="43">
        <v>2958.6</v>
      </c>
      <c r="J227" s="43"/>
      <c r="K227" s="43"/>
      <c r="L227" s="43">
        <f t="shared" si="84"/>
        <v>2958.6</v>
      </c>
      <c r="M227" s="43">
        <v>2958.6</v>
      </c>
      <c r="N227" s="43">
        <f t="shared" si="85"/>
        <v>0</v>
      </c>
      <c r="O227" s="43">
        <f t="shared" si="90"/>
        <v>100</v>
      </c>
      <c r="P227" s="43">
        <v>10686.5</v>
      </c>
      <c r="Q227" s="44">
        <f t="shared" si="86"/>
        <v>4.3601229216429505E-2</v>
      </c>
      <c r="R227" s="43">
        <f>6201897*Q227/100-800</f>
        <v>1904.1033267368648</v>
      </c>
      <c r="S227" s="43"/>
      <c r="T227" s="43"/>
      <c r="U227" s="43"/>
      <c r="V227" s="43"/>
      <c r="W227" s="43"/>
      <c r="X227" s="43">
        <f t="shared" si="87"/>
        <v>1904.1033267368648</v>
      </c>
      <c r="Y227" s="43"/>
      <c r="Z227" s="43">
        <f t="shared" si="89"/>
        <v>0</v>
      </c>
      <c r="AA227" s="43"/>
      <c r="AB227" s="43"/>
      <c r="AC227" s="43"/>
      <c r="AD227" s="43">
        <f t="shared" si="91"/>
        <v>0</v>
      </c>
      <c r="AE227" s="43"/>
      <c r="AF227" s="43"/>
      <c r="AG227" s="43"/>
      <c r="AH227" s="42">
        <f t="shared" si="92"/>
        <v>0</v>
      </c>
      <c r="AI227" s="41">
        <f>1846.4</f>
        <v>1846.4</v>
      </c>
      <c r="AJ227" s="40">
        <v>0</v>
      </c>
      <c r="AK227" s="49"/>
      <c r="AL227" s="39">
        <f t="shared" si="80"/>
        <v>0</v>
      </c>
    </row>
    <row r="228" spans="1:38" s="18" customFormat="1" ht="20.399999999999999" x14ac:dyDescent="0.25">
      <c r="A228" s="46">
        <v>55420</v>
      </c>
      <c r="B228" s="45" t="s">
        <v>74</v>
      </c>
      <c r="C228" s="43">
        <v>75342.5</v>
      </c>
      <c r="D228" s="43">
        <f t="shared" ref="D228:D241" si="93">C228/12</f>
        <v>6278.541666666667</v>
      </c>
      <c r="E228" s="43">
        <v>5250.4</v>
      </c>
      <c r="F228" s="43">
        <v>4313.6000000000004</v>
      </c>
      <c r="G228" s="43">
        <f t="shared" ref="G228:G241" si="94">C228*23.3/100</f>
        <v>17554.802500000002</v>
      </c>
      <c r="H228" s="44">
        <f t="shared" ref="H228:H241" si="95">(E228+F228)/(8725103.2+9421212.6)*100</f>
        <v>5.2704913247459309E-2</v>
      </c>
      <c r="I228" s="43">
        <f>7990664.7*H228/100+500</f>
        <v>4711.4728980303553</v>
      </c>
      <c r="J228" s="43"/>
      <c r="K228" s="43"/>
      <c r="L228" s="43">
        <f t="shared" ref="L228:L241" si="96">SUM(I228:K228)</f>
        <v>4711.4728980303553</v>
      </c>
      <c r="M228" s="43">
        <v>4550.1000000000004</v>
      </c>
      <c r="N228" s="43">
        <f t="shared" ref="N228:N241" si="97">M228-L228</f>
        <v>-161.37289803035492</v>
      </c>
      <c r="O228" s="43">
        <f t="shared" si="90"/>
        <v>96.574894910298283</v>
      </c>
      <c r="P228" s="43">
        <v>19768.899999999998</v>
      </c>
      <c r="Q228" s="44">
        <f t="shared" ref="Q228:Q241" si="98">P228/24509630.1*100</f>
        <v>8.0657684017842429E-2</v>
      </c>
      <c r="R228" s="43">
        <f>6201897*Q228/100</f>
        <v>5002.3064853720489</v>
      </c>
      <c r="S228" s="43"/>
      <c r="T228" s="43"/>
      <c r="U228" s="43"/>
      <c r="V228" s="43"/>
      <c r="W228" s="43"/>
      <c r="X228" s="43">
        <f t="shared" si="87"/>
        <v>5002.3064853720489</v>
      </c>
      <c r="Y228" s="43">
        <v>4838.165</v>
      </c>
      <c r="Z228" s="43">
        <f t="shared" si="89"/>
        <v>4838.165</v>
      </c>
      <c r="AA228" s="43"/>
      <c r="AB228" s="43"/>
      <c r="AC228" s="43"/>
      <c r="AD228" s="43">
        <f t="shared" si="91"/>
        <v>4838.165</v>
      </c>
      <c r="AE228" s="43">
        <f>9950.8-4000</f>
        <v>5950.7999999999993</v>
      </c>
      <c r="AF228" s="43"/>
      <c r="AG228" s="43"/>
      <c r="AH228" s="42">
        <f t="shared" si="92"/>
        <v>5950.7999999999993</v>
      </c>
      <c r="AI228" s="41">
        <v>6301.8</v>
      </c>
      <c r="AJ228" s="40">
        <v>7307.4</v>
      </c>
      <c r="AK228" s="49">
        <f>7623.4-2000</f>
        <v>5623.4</v>
      </c>
      <c r="AL228" s="39">
        <f t="shared" si="80"/>
        <v>5623.4</v>
      </c>
    </row>
    <row r="229" spans="1:38" s="18" customFormat="1" ht="24.75" customHeight="1" x14ac:dyDescent="0.25">
      <c r="A229" s="46">
        <v>56110</v>
      </c>
      <c r="B229" s="45" t="s">
        <v>73</v>
      </c>
      <c r="C229" s="43">
        <v>19960.3</v>
      </c>
      <c r="D229" s="43">
        <f t="shared" si="93"/>
        <v>1663.3583333333333</v>
      </c>
      <c r="E229" s="43">
        <v>820</v>
      </c>
      <c r="F229" s="43">
        <v>1035.2</v>
      </c>
      <c r="G229" s="43">
        <f t="shared" si="94"/>
        <v>4650.7498999999998</v>
      </c>
      <c r="H229" s="44">
        <f t="shared" si="95"/>
        <v>1.0223562845743047E-2</v>
      </c>
      <c r="I229" s="43">
        <f>7990664.7*H229/100+100</f>
        <v>916.93062739710513</v>
      </c>
      <c r="J229" s="43"/>
      <c r="K229" s="43"/>
      <c r="L229" s="43">
        <f t="shared" si="96"/>
        <v>916.93062739710513</v>
      </c>
      <c r="M229" s="43">
        <v>886</v>
      </c>
      <c r="N229" s="43">
        <f t="shared" si="97"/>
        <v>-30.930627397105127</v>
      </c>
      <c r="O229" s="43">
        <f t="shared" si="90"/>
        <v>96.626721098311648</v>
      </c>
      <c r="P229" s="43">
        <v>5513.4000000000005</v>
      </c>
      <c r="Q229" s="44">
        <f t="shared" si="98"/>
        <v>2.2494831531545634E-2</v>
      </c>
      <c r="R229" s="43">
        <f>6201897*Q229/100-400</f>
        <v>995.10628190998273</v>
      </c>
      <c r="S229" s="43"/>
      <c r="T229" s="43"/>
      <c r="U229" s="43"/>
      <c r="V229" s="43"/>
      <c r="W229" s="43"/>
      <c r="X229" s="43">
        <f t="shared" si="87"/>
        <v>995.10628190998273</v>
      </c>
      <c r="Y229" s="43">
        <v>1023.6650000000001</v>
      </c>
      <c r="Z229" s="43">
        <f t="shared" si="89"/>
        <v>1023.6650000000001</v>
      </c>
      <c r="AA229" s="43"/>
      <c r="AB229" s="43"/>
      <c r="AC229" s="43">
        <v>300</v>
      </c>
      <c r="AD229" s="43">
        <f t="shared" si="91"/>
        <v>1323.665</v>
      </c>
      <c r="AE229" s="43">
        <v>1417.9</v>
      </c>
      <c r="AF229" s="43"/>
      <c r="AG229" s="43"/>
      <c r="AH229" s="42">
        <f t="shared" si="92"/>
        <v>1417.9</v>
      </c>
      <c r="AI229" s="41">
        <f>1871.4+1000</f>
        <v>2871.4</v>
      </c>
      <c r="AJ229" s="40">
        <v>1889.6</v>
      </c>
      <c r="AK229" s="49">
        <f>3553.2-1000-1000</f>
        <v>1553.1999999999998</v>
      </c>
      <c r="AL229" s="39">
        <f t="shared" si="80"/>
        <v>1553.1999999999998</v>
      </c>
    </row>
    <row r="230" spans="1:38" s="18" customFormat="1" ht="30.6" x14ac:dyDescent="0.25">
      <c r="A230" s="46">
        <v>56121</v>
      </c>
      <c r="B230" s="45" t="s">
        <v>72</v>
      </c>
      <c r="C230" s="43">
        <f>52829.4+550193.9</f>
        <v>603023.30000000005</v>
      </c>
      <c r="D230" s="43">
        <f t="shared" si="93"/>
        <v>50251.941666666673</v>
      </c>
      <c r="E230" s="43">
        <v>32361.4</v>
      </c>
      <c r="F230" s="43">
        <v>42660.800000000003</v>
      </c>
      <c r="G230" s="43">
        <f t="shared" si="94"/>
        <v>140504.4289</v>
      </c>
      <c r="H230" s="44">
        <f t="shared" si="95"/>
        <v>0.41342937501396299</v>
      </c>
      <c r="I230" s="43">
        <f>7990664.7*H230/100+5000</f>
        <v>38035.755128671357</v>
      </c>
      <c r="J230" s="43"/>
      <c r="K230" s="43">
        <f>336.8+30000</f>
        <v>30336.799999999999</v>
      </c>
      <c r="L230" s="43">
        <f t="shared" si="96"/>
        <v>68372.55512867136</v>
      </c>
      <c r="M230" s="43">
        <v>59984.9</v>
      </c>
      <c r="N230" s="43">
        <f t="shared" si="97"/>
        <v>-8387.6551286713584</v>
      </c>
      <c r="O230" s="43">
        <f t="shared" si="90"/>
        <v>87.732424051015059</v>
      </c>
      <c r="P230" s="43">
        <v>168666.60000000003</v>
      </c>
      <c r="Q230" s="44">
        <f t="shared" si="98"/>
        <v>0.68816460840834981</v>
      </c>
      <c r="R230" s="43">
        <f>6201897*Q230/100</f>
        <v>42679.260203939193</v>
      </c>
      <c r="S230" s="43">
        <f>15000-5000</f>
        <v>10000</v>
      </c>
      <c r="T230" s="43">
        <f>3000+2000</f>
        <v>5000</v>
      </c>
      <c r="U230" s="43"/>
      <c r="V230" s="43">
        <v>2000</v>
      </c>
      <c r="W230" s="43"/>
      <c r="X230" s="43">
        <f t="shared" si="87"/>
        <v>59679.260203939193</v>
      </c>
      <c r="Y230" s="43">
        <v>29510.198</v>
      </c>
      <c r="Z230" s="43">
        <f>Y230+2300</f>
        <v>31810.198</v>
      </c>
      <c r="AA230" s="43">
        <v>30000</v>
      </c>
      <c r="AB230" s="43"/>
      <c r="AC230" s="43">
        <v>4700</v>
      </c>
      <c r="AD230" s="43">
        <f t="shared" si="91"/>
        <v>66510.198000000004</v>
      </c>
      <c r="AE230" s="43">
        <f>46096+13016</f>
        <v>59112</v>
      </c>
      <c r="AF230" s="43"/>
      <c r="AG230" s="43"/>
      <c r="AH230" s="42">
        <f t="shared" si="92"/>
        <v>59112</v>
      </c>
      <c r="AI230" s="41">
        <f>59112+7000</f>
        <v>66112</v>
      </c>
      <c r="AJ230" s="49">
        <v>138474.4</v>
      </c>
      <c r="AK230" s="49">
        <f>109077.2-30000-20000</f>
        <v>59077.2</v>
      </c>
      <c r="AL230" s="39">
        <f t="shared" si="80"/>
        <v>59077.2</v>
      </c>
    </row>
    <row r="231" spans="1:38" s="18" customFormat="1" ht="24.75" customHeight="1" x14ac:dyDescent="0.25">
      <c r="A231" s="46">
        <v>58110</v>
      </c>
      <c r="B231" s="45" t="s">
        <v>71</v>
      </c>
      <c r="C231" s="43">
        <v>17754.900000000001</v>
      </c>
      <c r="D231" s="43">
        <f t="shared" si="93"/>
        <v>1479.575</v>
      </c>
      <c r="E231" s="43">
        <v>1440</v>
      </c>
      <c r="F231" s="43">
        <v>1606.2</v>
      </c>
      <c r="G231" s="43">
        <f t="shared" si="94"/>
        <v>4136.8917000000001</v>
      </c>
      <c r="H231" s="44">
        <f t="shared" si="95"/>
        <v>1.6786878579507586E-2</v>
      </c>
      <c r="I231" s="43">
        <v>985.6</v>
      </c>
      <c r="J231" s="43"/>
      <c r="K231" s="43"/>
      <c r="L231" s="43">
        <f t="shared" si="96"/>
        <v>985.6</v>
      </c>
      <c r="M231" s="43">
        <v>985.6</v>
      </c>
      <c r="N231" s="43">
        <f t="shared" si="97"/>
        <v>0</v>
      </c>
      <c r="O231" s="43">
        <f t="shared" si="90"/>
        <v>100</v>
      </c>
      <c r="P231" s="43">
        <v>4571.8</v>
      </c>
      <c r="Q231" s="44">
        <f t="shared" si="98"/>
        <v>1.8653076286124774E-2</v>
      </c>
      <c r="R231" s="43">
        <f>6201897*Q231/100+150</f>
        <v>1306.8445785968838</v>
      </c>
      <c r="S231" s="43"/>
      <c r="T231" s="43"/>
      <c r="U231" s="43"/>
      <c r="V231" s="43"/>
      <c r="W231" s="43"/>
      <c r="X231" s="43">
        <f t="shared" si="87"/>
        <v>1306.8445785968838</v>
      </c>
      <c r="Y231" s="43">
        <v>1255.5980000000002</v>
      </c>
      <c r="Z231" s="43">
        <f t="shared" ref="Z231:Z241" si="99">Y231</f>
        <v>1255.5980000000002</v>
      </c>
      <c r="AA231" s="43">
        <v>409</v>
      </c>
      <c r="AB231" s="43"/>
      <c r="AC231" s="43"/>
      <c r="AD231" s="43">
        <f t="shared" si="91"/>
        <v>1664.5980000000002</v>
      </c>
      <c r="AE231" s="43">
        <v>1600.4</v>
      </c>
      <c r="AF231" s="43"/>
      <c r="AG231" s="43"/>
      <c r="AH231" s="42">
        <f t="shared" si="92"/>
        <v>1600.4</v>
      </c>
      <c r="AI231" s="41">
        <v>1477.1</v>
      </c>
      <c r="AJ231" s="40">
        <v>1477.1</v>
      </c>
      <c r="AK231" s="49">
        <v>1477.2</v>
      </c>
      <c r="AL231" s="39">
        <f t="shared" si="80"/>
        <v>1477.2</v>
      </c>
    </row>
    <row r="232" spans="1:38" s="18" customFormat="1" ht="24.75" customHeight="1" x14ac:dyDescent="0.25">
      <c r="A232" s="46">
        <v>58120</v>
      </c>
      <c r="B232" s="45" t="s">
        <v>70</v>
      </c>
      <c r="C232" s="43">
        <v>2273.9</v>
      </c>
      <c r="D232" s="43">
        <f t="shared" si="93"/>
        <v>189.49166666666667</v>
      </c>
      <c r="E232" s="43">
        <v>182.8</v>
      </c>
      <c r="F232" s="43">
        <v>167</v>
      </c>
      <c r="G232" s="43">
        <f t="shared" si="94"/>
        <v>529.81870000000004</v>
      </c>
      <c r="H232" s="44">
        <f t="shared" si="95"/>
        <v>1.9276640165162345E-3</v>
      </c>
      <c r="I232" s="43">
        <v>171.6</v>
      </c>
      <c r="J232" s="43"/>
      <c r="K232" s="43"/>
      <c r="L232" s="43">
        <f t="shared" si="96"/>
        <v>171.6</v>
      </c>
      <c r="M232" s="43">
        <v>171.6</v>
      </c>
      <c r="N232" s="43">
        <f t="shared" si="97"/>
        <v>0</v>
      </c>
      <c r="O232" s="43">
        <f t="shared" si="90"/>
        <v>100</v>
      </c>
      <c r="P232" s="43">
        <v>593.00000000000011</v>
      </c>
      <c r="Q232" s="44">
        <f t="shared" si="98"/>
        <v>2.4194571585966127E-3</v>
      </c>
      <c r="R232" s="43">
        <f>6201897*Q232/100+20</f>
        <v>170.05224093528858</v>
      </c>
      <c r="S232" s="43"/>
      <c r="T232" s="43"/>
      <c r="U232" s="43"/>
      <c r="V232" s="43"/>
      <c r="W232" s="43"/>
      <c r="X232" s="43">
        <f t="shared" si="87"/>
        <v>170.05224093528858</v>
      </c>
      <c r="Y232" s="43">
        <v>164.86500000000001</v>
      </c>
      <c r="Z232" s="43">
        <f t="shared" si="99"/>
        <v>164.86500000000001</v>
      </c>
      <c r="AA232" s="43">
        <v>89.8</v>
      </c>
      <c r="AB232" s="43"/>
      <c r="AC232" s="43"/>
      <c r="AD232" s="43">
        <f t="shared" si="91"/>
        <v>254.66500000000002</v>
      </c>
      <c r="AE232" s="43">
        <v>168.2</v>
      </c>
      <c r="AF232" s="43"/>
      <c r="AG232" s="43"/>
      <c r="AH232" s="42">
        <f t="shared" si="92"/>
        <v>168.2</v>
      </c>
      <c r="AI232" s="41">
        <v>186</v>
      </c>
      <c r="AJ232" s="40">
        <v>186</v>
      </c>
      <c r="AK232" s="49">
        <v>186.1</v>
      </c>
      <c r="AL232" s="39">
        <f t="shared" si="80"/>
        <v>186.1</v>
      </c>
    </row>
    <row r="233" spans="1:38" s="18" customFormat="1" ht="14.25" customHeight="1" x14ac:dyDescent="0.25">
      <c r="A233" s="46">
        <v>59110</v>
      </c>
      <c r="B233" s="45" t="s">
        <v>69</v>
      </c>
      <c r="C233" s="43">
        <v>44102.9</v>
      </c>
      <c r="D233" s="43">
        <f t="shared" si="93"/>
        <v>3675.2416666666668</v>
      </c>
      <c r="E233" s="43">
        <v>2707.3</v>
      </c>
      <c r="F233" s="43">
        <v>3114.3</v>
      </c>
      <c r="G233" s="43">
        <f t="shared" si="94"/>
        <v>10275.975700000001</v>
      </c>
      <c r="H233" s="44">
        <f t="shared" si="95"/>
        <v>3.2081443220557206E-2</v>
      </c>
      <c r="I233" s="43">
        <v>2787.7</v>
      </c>
      <c r="J233" s="43"/>
      <c r="K233" s="43"/>
      <c r="L233" s="43">
        <f t="shared" si="96"/>
        <v>2787.7</v>
      </c>
      <c r="M233" s="43">
        <v>2787.7</v>
      </c>
      <c r="N233" s="43">
        <f t="shared" si="97"/>
        <v>0</v>
      </c>
      <c r="O233" s="43">
        <f t="shared" si="90"/>
        <v>100</v>
      </c>
      <c r="P233" s="43">
        <v>11996.100000000002</v>
      </c>
      <c r="Q233" s="44">
        <f t="shared" si="98"/>
        <v>4.8944435110018246E-2</v>
      </c>
      <c r="R233" s="43">
        <f>6201897*Q233/100</f>
        <v>3035.4834527551684</v>
      </c>
      <c r="S233" s="43"/>
      <c r="T233" s="43"/>
      <c r="U233" s="43"/>
      <c r="V233" s="43"/>
      <c r="W233" s="43"/>
      <c r="X233" s="43">
        <f t="shared" si="87"/>
        <v>3035.4834527551684</v>
      </c>
      <c r="Y233" s="43">
        <v>2482.6990000000001</v>
      </c>
      <c r="Z233" s="43">
        <f t="shared" si="99"/>
        <v>2482.6990000000001</v>
      </c>
      <c r="AA233" s="43"/>
      <c r="AB233" s="43"/>
      <c r="AC233" s="43"/>
      <c r="AD233" s="43">
        <f t="shared" si="91"/>
        <v>2482.6990000000001</v>
      </c>
      <c r="AE233" s="43">
        <v>3726</v>
      </c>
      <c r="AF233" s="43"/>
      <c r="AG233" s="43"/>
      <c r="AH233" s="42">
        <f t="shared" si="92"/>
        <v>3726</v>
      </c>
      <c r="AI233" s="41">
        <v>3726</v>
      </c>
      <c r="AJ233" s="49">
        <v>4632.1000000000004</v>
      </c>
      <c r="AK233" s="49">
        <f>5889-1000-2000</f>
        <v>2889</v>
      </c>
      <c r="AL233" s="39">
        <f t="shared" si="80"/>
        <v>2889</v>
      </c>
    </row>
    <row r="234" spans="1:38" s="18" customFormat="1" ht="12.75" customHeight="1" x14ac:dyDescent="0.25">
      <c r="A234" s="46">
        <v>59120</v>
      </c>
      <c r="B234" s="45" t="s">
        <v>68</v>
      </c>
      <c r="C234" s="43">
        <v>13083.3</v>
      </c>
      <c r="D234" s="43">
        <f t="shared" si="93"/>
        <v>1090.2749999999999</v>
      </c>
      <c r="E234" s="43">
        <v>1063.5</v>
      </c>
      <c r="F234" s="43">
        <v>1007</v>
      </c>
      <c r="G234" s="43">
        <f t="shared" si="94"/>
        <v>3048.4089000000004</v>
      </c>
      <c r="H234" s="44">
        <f t="shared" si="95"/>
        <v>1.1410029577463874E-2</v>
      </c>
      <c r="I234" s="43">
        <v>1759.2</v>
      </c>
      <c r="J234" s="43"/>
      <c r="K234" s="43"/>
      <c r="L234" s="43">
        <f t="shared" si="96"/>
        <v>1759.2</v>
      </c>
      <c r="M234" s="43">
        <v>1759.2</v>
      </c>
      <c r="N234" s="43">
        <f t="shared" si="97"/>
        <v>0</v>
      </c>
      <c r="O234" s="43">
        <f t="shared" si="90"/>
        <v>100</v>
      </c>
      <c r="P234" s="43">
        <v>3497.2</v>
      </c>
      <c r="Q234" s="44">
        <f t="shared" si="98"/>
        <v>1.426867719231715E-2</v>
      </c>
      <c r="R234" s="43">
        <f>6201897*Q234/100+300</f>
        <v>1184.9286627300016</v>
      </c>
      <c r="S234" s="43"/>
      <c r="T234" s="43"/>
      <c r="U234" s="43"/>
      <c r="V234" s="43"/>
      <c r="W234" s="43"/>
      <c r="X234" s="43">
        <f t="shared" ref="X234:X241" si="100">SUM(R234:V234)</f>
        <v>1184.9286627300016</v>
      </c>
      <c r="Y234" s="43">
        <v>873.63099999999997</v>
      </c>
      <c r="Z234" s="43">
        <f t="shared" si="99"/>
        <v>873.63099999999997</v>
      </c>
      <c r="AA234" s="43"/>
      <c r="AB234" s="43"/>
      <c r="AC234" s="43"/>
      <c r="AD234" s="43">
        <f t="shared" si="91"/>
        <v>873.63099999999997</v>
      </c>
      <c r="AE234" s="43">
        <v>1649.2</v>
      </c>
      <c r="AF234" s="43"/>
      <c r="AG234" s="43"/>
      <c r="AH234" s="42">
        <f t="shared" si="92"/>
        <v>1649.2</v>
      </c>
      <c r="AI234" s="41">
        <v>1115.3</v>
      </c>
      <c r="AJ234" s="40">
        <v>1688.6</v>
      </c>
      <c r="AK234" s="49">
        <f>2488-1500</f>
        <v>988</v>
      </c>
      <c r="AL234" s="39">
        <f t="shared" si="80"/>
        <v>988</v>
      </c>
    </row>
    <row r="235" spans="1:38" s="18" customFormat="1" ht="30.6" x14ac:dyDescent="0.25">
      <c r="A235" s="46">
        <v>60110</v>
      </c>
      <c r="B235" s="45" t="s">
        <v>67</v>
      </c>
      <c r="C235" s="43">
        <v>17113.900000000001</v>
      </c>
      <c r="D235" s="43">
        <f t="shared" si="93"/>
        <v>1426.1583333333335</v>
      </c>
      <c r="E235" s="43">
        <v>1387.1</v>
      </c>
      <c r="F235" s="43">
        <v>1341</v>
      </c>
      <c r="G235" s="43">
        <f t="shared" si="94"/>
        <v>3987.5387000000005</v>
      </c>
      <c r="H235" s="44">
        <f t="shared" si="95"/>
        <v>1.5033905670262833E-2</v>
      </c>
      <c r="I235" s="43">
        <v>1034.7</v>
      </c>
      <c r="J235" s="43"/>
      <c r="K235" s="43"/>
      <c r="L235" s="43">
        <f t="shared" si="96"/>
        <v>1034.7</v>
      </c>
      <c r="M235" s="43">
        <v>1034.7</v>
      </c>
      <c r="N235" s="43">
        <f t="shared" si="97"/>
        <v>0</v>
      </c>
      <c r="O235" s="43">
        <f t="shared" si="90"/>
        <v>100</v>
      </c>
      <c r="P235" s="43">
        <v>4423.8999999999996</v>
      </c>
      <c r="Q235" s="44">
        <f t="shared" si="98"/>
        <v>1.8049640006602953E-2</v>
      </c>
      <c r="R235" s="43">
        <f>6201897*Q235/100</f>
        <v>1119.4200820803082</v>
      </c>
      <c r="S235" s="43"/>
      <c r="T235" s="43"/>
      <c r="U235" s="43"/>
      <c r="V235" s="43"/>
      <c r="W235" s="43"/>
      <c r="X235" s="43">
        <f t="shared" si="100"/>
        <v>1119.4200820803082</v>
      </c>
      <c r="Y235" s="43">
        <v>1052.133</v>
      </c>
      <c r="Z235" s="43">
        <f t="shared" si="99"/>
        <v>1052.133</v>
      </c>
      <c r="AA235" s="43"/>
      <c r="AB235" s="43"/>
      <c r="AC235" s="43"/>
      <c r="AD235" s="43">
        <f t="shared" si="91"/>
        <v>1052.133</v>
      </c>
      <c r="AE235" s="43">
        <v>1824.2</v>
      </c>
      <c r="AF235" s="43"/>
      <c r="AG235" s="43"/>
      <c r="AH235" s="42">
        <f t="shared" si="92"/>
        <v>1824.2</v>
      </c>
      <c r="AI235" s="41">
        <v>1454.4</v>
      </c>
      <c r="AJ235" s="40">
        <v>1663.7</v>
      </c>
      <c r="AK235" s="49">
        <f>1628.7-300</f>
        <v>1328.7</v>
      </c>
      <c r="AL235" s="39">
        <f t="shared" si="80"/>
        <v>1328.7</v>
      </c>
    </row>
    <row r="236" spans="1:38" s="18" customFormat="1" ht="30.6" x14ac:dyDescent="0.25">
      <c r="A236" s="46">
        <v>60120</v>
      </c>
      <c r="B236" s="45" t="s">
        <v>66</v>
      </c>
      <c r="C236" s="43">
        <v>16128.1</v>
      </c>
      <c r="D236" s="43">
        <f t="shared" si="93"/>
        <v>1344.0083333333334</v>
      </c>
      <c r="E236" s="43">
        <v>876.9</v>
      </c>
      <c r="F236" s="43">
        <v>628</v>
      </c>
      <c r="G236" s="43">
        <f t="shared" si="94"/>
        <v>3757.8473000000004</v>
      </c>
      <c r="H236" s="44">
        <f t="shared" si="95"/>
        <v>8.2931434489859381E-3</v>
      </c>
      <c r="I236" s="43">
        <v>1462.3</v>
      </c>
      <c r="J236" s="43"/>
      <c r="K236" s="43"/>
      <c r="L236" s="43">
        <f t="shared" si="96"/>
        <v>1462.3</v>
      </c>
      <c r="M236" s="43">
        <v>1462.3</v>
      </c>
      <c r="N236" s="43">
        <f t="shared" si="97"/>
        <v>0</v>
      </c>
      <c r="O236" s="43">
        <f t="shared" si="90"/>
        <v>100</v>
      </c>
      <c r="P236" s="43">
        <v>4453.2</v>
      </c>
      <c r="Q236" s="44">
        <f t="shared" si="98"/>
        <v>1.8169184854405451E-2</v>
      </c>
      <c r="R236" s="43">
        <f>6201897*Q236/100</f>
        <v>1126.834130409826</v>
      </c>
      <c r="S236" s="43"/>
      <c r="T236" s="43"/>
      <c r="U236" s="43"/>
      <c r="V236" s="43"/>
      <c r="W236" s="43"/>
      <c r="X236" s="43">
        <f t="shared" si="100"/>
        <v>1126.834130409826</v>
      </c>
      <c r="Y236" s="43">
        <v>695.83400000000006</v>
      </c>
      <c r="Z236" s="43">
        <f t="shared" si="99"/>
        <v>695.83400000000006</v>
      </c>
      <c r="AA236" s="43"/>
      <c r="AB236" s="43"/>
      <c r="AC236" s="43"/>
      <c r="AD236" s="43">
        <f t="shared" si="91"/>
        <v>695.83400000000006</v>
      </c>
      <c r="AE236" s="43">
        <v>803.9</v>
      </c>
      <c r="AF236" s="43"/>
      <c r="AG236" s="43"/>
      <c r="AH236" s="42">
        <f t="shared" si="92"/>
        <v>803.9</v>
      </c>
      <c r="AI236" s="41">
        <v>803.9</v>
      </c>
      <c r="AJ236" s="40">
        <v>841.8</v>
      </c>
      <c r="AK236" s="49">
        <f>4671.7-3000-800</f>
        <v>871.69999999999982</v>
      </c>
      <c r="AL236" s="39">
        <f t="shared" si="80"/>
        <v>871.69999999999982</v>
      </c>
    </row>
    <row r="237" spans="1:38" s="18" customFormat="1" ht="30.6" x14ac:dyDescent="0.25">
      <c r="A237" s="48">
        <v>60911</v>
      </c>
      <c r="B237" s="45" t="s">
        <v>65</v>
      </c>
      <c r="C237" s="43">
        <v>8000</v>
      </c>
      <c r="D237" s="43">
        <f t="shared" si="93"/>
        <v>666.66666666666663</v>
      </c>
      <c r="E237" s="43"/>
      <c r="F237" s="43"/>
      <c r="G237" s="43">
        <f t="shared" si="94"/>
        <v>1864</v>
      </c>
      <c r="H237" s="44">
        <f t="shared" si="95"/>
        <v>0</v>
      </c>
      <c r="I237" s="43">
        <v>8000</v>
      </c>
      <c r="J237" s="43"/>
      <c r="K237" s="43"/>
      <c r="L237" s="43">
        <f t="shared" si="96"/>
        <v>8000</v>
      </c>
      <c r="M237" s="43">
        <v>8000</v>
      </c>
      <c r="N237" s="43">
        <f t="shared" si="97"/>
        <v>0</v>
      </c>
      <c r="O237" s="43">
        <f t="shared" si="90"/>
        <v>100</v>
      </c>
      <c r="P237" s="43">
        <v>0</v>
      </c>
      <c r="Q237" s="44">
        <f t="shared" si="98"/>
        <v>0</v>
      </c>
      <c r="R237" s="43">
        <f>6201897*Q237/100</f>
        <v>0</v>
      </c>
      <c r="S237" s="43"/>
      <c r="T237" s="43"/>
      <c r="U237" s="43"/>
      <c r="V237" s="43"/>
      <c r="W237" s="43"/>
      <c r="X237" s="43">
        <f t="shared" si="100"/>
        <v>0</v>
      </c>
      <c r="Y237" s="43"/>
      <c r="Z237" s="43">
        <f t="shared" si="99"/>
        <v>0</v>
      </c>
      <c r="AA237" s="43"/>
      <c r="AB237" s="43"/>
      <c r="AC237" s="43"/>
      <c r="AD237" s="43">
        <f t="shared" si="91"/>
        <v>0</v>
      </c>
      <c r="AE237" s="43"/>
      <c r="AF237" s="43"/>
      <c r="AG237" s="43"/>
      <c r="AH237" s="42">
        <f t="shared" si="92"/>
        <v>0</v>
      </c>
      <c r="AI237" s="41"/>
      <c r="AJ237" s="40">
        <v>0</v>
      </c>
      <c r="AK237" s="49"/>
      <c r="AL237" s="39">
        <f t="shared" si="80"/>
        <v>0</v>
      </c>
    </row>
    <row r="238" spans="1:38" s="18" customFormat="1" ht="24.75" customHeight="1" x14ac:dyDescent="0.25">
      <c r="A238" s="46">
        <v>61110</v>
      </c>
      <c r="B238" s="45" t="s">
        <v>64</v>
      </c>
      <c r="C238" s="43">
        <v>77514.2</v>
      </c>
      <c r="D238" s="43">
        <f t="shared" si="93"/>
        <v>6459.5166666666664</v>
      </c>
      <c r="E238" s="43">
        <v>5204.1000000000004</v>
      </c>
      <c r="F238" s="43">
        <v>5267.2</v>
      </c>
      <c r="G238" s="43">
        <f t="shared" si="94"/>
        <v>18060.8086</v>
      </c>
      <c r="H238" s="44">
        <f t="shared" si="95"/>
        <v>5.7704826232551298E-2</v>
      </c>
      <c r="I238" s="43">
        <v>7092.5</v>
      </c>
      <c r="J238" s="43"/>
      <c r="K238" s="43"/>
      <c r="L238" s="43">
        <f t="shared" si="96"/>
        <v>7092.5</v>
      </c>
      <c r="M238" s="43">
        <v>7092.5</v>
      </c>
      <c r="N238" s="43">
        <f t="shared" si="97"/>
        <v>0</v>
      </c>
      <c r="O238" s="43">
        <f t="shared" si="90"/>
        <v>100</v>
      </c>
      <c r="P238" s="43">
        <v>20301.100000000002</v>
      </c>
      <c r="Q238" s="44">
        <f t="shared" si="98"/>
        <v>8.2829075417176531E-2</v>
      </c>
      <c r="R238" s="43">
        <f>6201897*Q238/100+100</f>
        <v>5236.9739434256089</v>
      </c>
      <c r="S238" s="43"/>
      <c r="T238" s="43"/>
      <c r="U238" s="43"/>
      <c r="V238" s="43"/>
      <c r="W238" s="43"/>
      <c r="X238" s="43">
        <f t="shared" si="100"/>
        <v>5236.9739434256089</v>
      </c>
      <c r="Y238" s="43">
        <v>4825.3670000000011</v>
      </c>
      <c r="Z238" s="43">
        <f t="shared" si="99"/>
        <v>4825.3670000000011</v>
      </c>
      <c r="AA238" s="43"/>
      <c r="AB238" s="43"/>
      <c r="AC238" s="43"/>
      <c r="AD238" s="43">
        <f t="shared" si="91"/>
        <v>4825.3670000000011</v>
      </c>
      <c r="AE238" s="43">
        <v>6537.8</v>
      </c>
      <c r="AF238" s="43"/>
      <c r="AG238" s="43"/>
      <c r="AH238" s="42">
        <f t="shared" si="92"/>
        <v>6537.8</v>
      </c>
      <c r="AI238" s="41">
        <v>5695.8</v>
      </c>
      <c r="AJ238" s="40">
        <v>7738</v>
      </c>
      <c r="AK238" s="49">
        <f>10243.8-3000-2000</f>
        <v>5243.7999999999993</v>
      </c>
      <c r="AL238" s="39">
        <f t="shared" si="80"/>
        <v>5243.7999999999993</v>
      </c>
    </row>
    <row r="239" spans="1:38" s="18" customFormat="1" ht="30.6" x14ac:dyDescent="0.25">
      <c r="A239" s="46">
        <v>61120</v>
      </c>
      <c r="B239" s="45" t="s">
        <v>63</v>
      </c>
      <c r="C239" s="43">
        <v>66304.600000000006</v>
      </c>
      <c r="D239" s="43">
        <f t="shared" si="93"/>
        <v>5525.3833333333341</v>
      </c>
      <c r="E239" s="43">
        <v>5091.1000000000004</v>
      </c>
      <c r="F239" s="43">
        <v>4961.3999999999996</v>
      </c>
      <c r="G239" s="43">
        <f t="shared" si="94"/>
        <v>15448.971800000001</v>
      </c>
      <c r="H239" s="44">
        <f t="shared" si="95"/>
        <v>5.5396919742794301E-2</v>
      </c>
      <c r="I239" s="43">
        <v>4977.1000000000004</v>
      </c>
      <c r="J239" s="43"/>
      <c r="K239" s="43"/>
      <c r="L239" s="43">
        <f t="shared" si="96"/>
        <v>4977.1000000000004</v>
      </c>
      <c r="M239" s="43">
        <v>4977.1000000000004</v>
      </c>
      <c r="N239" s="43">
        <f t="shared" si="97"/>
        <v>0</v>
      </c>
      <c r="O239" s="43">
        <f t="shared" si="90"/>
        <v>100</v>
      </c>
      <c r="P239" s="43">
        <v>17737.599999999999</v>
      </c>
      <c r="Q239" s="44">
        <f t="shared" si="98"/>
        <v>7.2369921241691837E-2</v>
      </c>
      <c r="R239" s="43">
        <f>6201897*Q239/100+500</f>
        <v>4988.3079743908484</v>
      </c>
      <c r="S239" s="43"/>
      <c r="T239" s="43"/>
      <c r="U239" s="43"/>
      <c r="V239" s="43"/>
      <c r="W239" s="43"/>
      <c r="X239" s="43">
        <f t="shared" si="100"/>
        <v>4988.3079743908484</v>
      </c>
      <c r="Y239" s="43">
        <v>4690.9679999999998</v>
      </c>
      <c r="Z239" s="43">
        <f t="shared" si="99"/>
        <v>4690.9679999999998</v>
      </c>
      <c r="AA239" s="43"/>
      <c r="AB239" s="43"/>
      <c r="AC239" s="43"/>
      <c r="AD239" s="43">
        <f t="shared" si="91"/>
        <v>4690.9679999999998</v>
      </c>
      <c r="AE239" s="43">
        <v>4598.5</v>
      </c>
      <c r="AF239" s="43"/>
      <c r="AG239" s="43"/>
      <c r="AH239" s="42">
        <f t="shared" si="92"/>
        <v>4598.5</v>
      </c>
      <c r="AI239" s="41">
        <v>5156.6000000000004</v>
      </c>
      <c r="AJ239" s="40">
        <v>6300</v>
      </c>
      <c r="AK239" s="49">
        <f>9999.7-3000-2000</f>
        <v>4999.7000000000007</v>
      </c>
      <c r="AL239" s="39">
        <f t="shared" si="80"/>
        <v>4999.7000000000007</v>
      </c>
    </row>
    <row r="240" spans="1:38" s="18" customFormat="1" ht="24.75" customHeight="1" x14ac:dyDescent="0.25">
      <c r="A240" s="46">
        <v>62110</v>
      </c>
      <c r="B240" s="45" t="s">
        <v>62</v>
      </c>
      <c r="C240" s="43">
        <v>43293.1</v>
      </c>
      <c r="D240" s="43">
        <f t="shared" si="93"/>
        <v>3607.7583333333332</v>
      </c>
      <c r="E240" s="43">
        <v>2445</v>
      </c>
      <c r="F240" s="43">
        <v>3010.5</v>
      </c>
      <c r="G240" s="43">
        <f t="shared" si="94"/>
        <v>10087.292299999999</v>
      </c>
      <c r="H240" s="44">
        <f t="shared" si="95"/>
        <v>3.0063953808188441E-2</v>
      </c>
      <c r="I240" s="43">
        <v>4778.8</v>
      </c>
      <c r="J240" s="43"/>
      <c r="K240" s="43"/>
      <c r="L240" s="43">
        <f t="shared" si="96"/>
        <v>4778.8</v>
      </c>
      <c r="M240" s="43">
        <v>3066.3</v>
      </c>
      <c r="N240" s="43">
        <f t="shared" si="97"/>
        <v>-1712.5</v>
      </c>
      <c r="O240" s="43">
        <f t="shared" si="90"/>
        <v>64.16464384364275</v>
      </c>
      <c r="P240" s="43">
        <v>11569.3</v>
      </c>
      <c r="Q240" s="44">
        <f t="shared" si="98"/>
        <v>4.7203078760458317E-2</v>
      </c>
      <c r="R240" s="43">
        <f>6201897*Q240/100</f>
        <v>2927.4863255525015</v>
      </c>
      <c r="S240" s="43"/>
      <c r="T240" s="43"/>
      <c r="U240" s="43">
        <v>2573</v>
      </c>
      <c r="V240" s="43"/>
      <c r="W240" s="43"/>
      <c r="X240" s="43">
        <f t="shared" si="100"/>
        <v>5500.4863255525015</v>
      </c>
      <c r="Y240" s="43">
        <v>2618.0009999999997</v>
      </c>
      <c r="Z240" s="43">
        <f t="shared" si="99"/>
        <v>2618.0009999999997</v>
      </c>
      <c r="AA240" s="43"/>
      <c r="AB240" s="43"/>
      <c r="AC240" s="43"/>
      <c r="AD240" s="43">
        <f t="shared" si="91"/>
        <v>2618.0009999999997</v>
      </c>
      <c r="AE240" s="43">
        <v>4647</v>
      </c>
      <c r="AF240" s="43"/>
      <c r="AG240" s="43"/>
      <c r="AH240" s="42">
        <f t="shared" si="92"/>
        <v>4647</v>
      </c>
      <c r="AI240" s="41">
        <v>3601.6</v>
      </c>
      <c r="AJ240" s="40">
        <v>3439</v>
      </c>
      <c r="AK240" s="49">
        <v>2600</v>
      </c>
      <c r="AL240" s="39">
        <f t="shared" si="80"/>
        <v>2600</v>
      </c>
    </row>
    <row r="241" spans="1:38" s="18" customFormat="1" ht="24.75" customHeight="1" x14ac:dyDescent="0.25">
      <c r="A241" s="46">
        <v>62120</v>
      </c>
      <c r="B241" s="45" t="s">
        <v>61</v>
      </c>
      <c r="C241" s="43">
        <v>445527</v>
      </c>
      <c r="D241" s="43">
        <f t="shared" si="93"/>
        <v>37127.25</v>
      </c>
      <c r="E241" s="43">
        <v>21731.3</v>
      </c>
      <c r="F241" s="43">
        <v>39689.1</v>
      </c>
      <c r="G241" s="43">
        <f t="shared" si="94"/>
        <v>103807.791</v>
      </c>
      <c r="H241" s="44">
        <f t="shared" si="95"/>
        <v>0.33847311309329248</v>
      </c>
      <c r="I241" s="43">
        <f>7990664.7*H241/100</f>
        <v>27046.2515669368</v>
      </c>
      <c r="J241" s="43"/>
      <c r="K241" s="43"/>
      <c r="L241" s="43">
        <f t="shared" si="96"/>
        <v>27046.2515669368</v>
      </c>
      <c r="M241" s="43">
        <v>25588.421999999999</v>
      </c>
      <c r="N241" s="43">
        <f t="shared" si="97"/>
        <v>-1457.8295669368017</v>
      </c>
      <c r="O241" s="43">
        <f t="shared" si="90"/>
        <v>94.609864648604571</v>
      </c>
      <c r="P241" s="43">
        <v>133759.59999999998</v>
      </c>
      <c r="Q241" s="44">
        <f t="shared" si="98"/>
        <v>0.54574303836596849</v>
      </c>
      <c r="R241" s="43">
        <f>6201897*Q241/100-4000</f>
        <v>29846.421124127846</v>
      </c>
      <c r="S241" s="43"/>
      <c r="T241" s="43">
        <v>12300</v>
      </c>
      <c r="U241" s="43">
        <v>-2573</v>
      </c>
      <c r="V241" s="43"/>
      <c r="W241" s="43"/>
      <c r="X241" s="43">
        <f t="shared" si="100"/>
        <v>39573.421124127846</v>
      </c>
      <c r="Y241" s="43">
        <v>71203.434000000008</v>
      </c>
      <c r="Z241" s="43">
        <f t="shared" si="99"/>
        <v>71203.434000000008</v>
      </c>
      <c r="AA241" s="43"/>
      <c r="AB241" s="43"/>
      <c r="AC241" s="43"/>
      <c r="AD241" s="43">
        <f t="shared" si="91"/>
        <v>71203.434000000008</v>
      </c>
      <c r="AE241" s="43">
        <v>34871.4</v>
      </c>
      <c r="AF241" s="43"/>
      <c r="AG241" s="43"/>
      <c r="AH241" s="42">
        <f t="shared" si="92"/>
        <v>34871.4</v>
      </c>
      <c r="AI241" s="41">
        <f>41818.7+3650</f>
        <v>45468.7</v>
      </c>
      <c r="AJ241" s="40">
        <v>65768.7</v>
      </c>
      <c r="AK241" s="49">
        <f>48000-26000</f>
        <v>22000</v>
      </c>
      <c r="AL241" s="39">
        <f t="shared" si="80"/>
        <v>22000</v>
      </c>
    </row>
    <row r="242" spans="1:38" s="18" customFormat="1" ht="20.399999999999999" x14ac:dyDescent="0.25">
      <c r="A242" s="46">
        <v>63110</v>
      </c>
      <c r="B242" s="45" t="s">
        <v>60</v>
      </c>
      <c r="C242" s="43"/>
      <c r="D242" s="43"/>
      <c r="E242" s="43"/>
      <c r="F242" s="43"/>
      <c r="G242" s="43"/>
      <c r="H242" s="44"/>
      <c r="I242" s="43"/>
      <c r="J242" s="43"/>
      <c r="K242" s="43"/>
      <c r="L242" s="43"/>
      <c r="M242" s="43"/>
      <c r="N242" s="43"/>
      <c r="O242" s="43"/>
      <c r="P242" s="43"/>
      <c r="Q242" s="44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2"/>
      <c r="AI242" s="41"/>
      <c r="AJ242" s="40">
        <v>4032.1</v>
      </c>
      <c r="AK242" s="49">
        <v>1921.6120000000001</v>
      </c>
      <c r="AL242" s="39">
        <f t="shared" si="80"/>
        <v>1921.6120000000001</v>
      </c>
    </row>
    <row r="243" spans="1:38" s="18" customFormat="1" ht="14.25" customHeight="1" x14ac:dyDescent="0.25">
      <c r="A243" s="46">
        <v>64110</v>
      </c>
      <c r="B243" s="45" t="s">
        <v>59</v>
      </c>
      <c r="C243" s="43">
        <v>19061.400000000001</v>
      </c>
      <c r="D243" s="43">
        <f t="shared" ref="D243:D274" si="101">C243/12</f>
        <v>1588.45</v>
      </c>
      <c r="E243" s="43">
        <v>1549.3</v>
      </c>
      <c r="F243" s="43">
        <v>1531.3</v>
      </c>
      <c r="G243" s="43">
        <f t="shared" ref="G243:G274" si="102">C243*23.3/100</f>
        <v>4441.3062000000009</v>
      </c>
      <c r="H243" s="44">
        <f t="shared" ref="H243:H274" si="103">(E243+F243)/(8725103.2+9421212.6)*100</f>
        <v>1.6976448740079794E-2</v>
      </c>
      <c r="I243" s="43">
        <f>7990664.7*H243/100+200</f>
        <v>1556.531096787151</v>
      </c>
      <c r="J243" s="43"/>
      <c r="K243" s="43"/>
      <c r="L243" s="43">
        <f t="shared" ref="L243:L248" si="104">SUM(I243:K243)</f>
        <v>1556.531096787151</v>
      </c>
      <c r="M243" s="43">
        <v>1556.5</v>
      </c>
      <c r="N243" s="43">
        <f t="shared" ref="N243:N276" si="105">M243-L243</f>
        <v>-3.1096787151000171E-2</v>
      </c>
      <c r="O243" s="43">
        <f t="shared" ref="O243:O262" si="106">M243/L243*100</f>
        <v>99.998002173730086</v>
      </c>
      <c r="P243" s="43">
        <v>4854.6000000000004</v>
      </c>
      <c r="Q243" s="44">
        <f t="shared" ref="Q243:Q275" si="107">P243/24509630.1*100</f>
        <v>1.9806908469010308E-2</v>
      </c>
      <c r="R243" s="43">
        <f>6201897*Q243/100+300</f>
        <v>1528.4040621322963</v>
      </c>
      <c r="S243" s="43"/>
      <c r="T243" s="43"/>
      <c r="U243" s="43"/>
      <c r="V243" s="43"/>
      <c r="W243" s="43"/>
      <c r="X243" s="43">
        <f t="shared" ref="X243:X276" si="108">SUM(R243:V243)</f>
        <v>1528.4040621322963</v>
      </c>
      <c r="Y243" s="43">
        <v>1507.6329999999998</v>
      </c>
      <c r="Z243" s="43">
        <f>Y243</f>
        <v>1507.6329999999998</v>
      </c>
      <c r="AA243" s="43"/>
      <c r="AB243" s="43"/>
      <c r="AC243" s="43"/>
      <c r="AD243" s="43">
        <f t="shared" ref="AD243:AD276" si="109">SUM(Z243:AC243)</f>
        <v>1507.6329999999998</v>
      </c>
      <c r="AE243" s="43">
        <v>1900.5</v>
      </c>
      <c r="AF243" s="43"/>
      <c r="AG243" s="43"/>
      <c r="AH243" s="42">
        <f t="shared" ref="AH243:AH276" si="110">AE243+AF243+AG243</f>
        <v>1900.5</v>
      </c>
      <c r="AI243" s="41">
        <v>1500</v>
      </c>
      <c r="AJ243" s="40">
        <v>1523.1</v>
      </c>
      <c r="AK243" s="49">
        <v>1612.5</v>
      </c>
      <c r="AL243" s="39">
        <f t="shared" si="80"/>
        <v>1612.5</v>
      </c>
    </row>
    <row r="244" spans="1:38" s="18" customFormat="1" ht="20.399999999999999" x14ac:dyDescent="0.25">
      <c r="A244" s="46">
        <v>64220</v>
      </c>
      <c r="B244" s="45" t="s">
        <v>58</v>
      </c>
      <c r="C244" s="43">
        <v>3975.3</v>
      </c>
      <c r="D244" s="43">
        <f t="shared" si="101"/>
        <v>331.27500000000003</v>
      </c>
      <c r="E244" s="43">
        <v>318.10000000000002</v>
      </c>
      <c r="F244" s="43">
        <v>317.2</v>
      </c>
      <c r="G244" s="43">
        <f t="shared" si="102"/>
        <v>926.24490000000003</v>
      </c>
      <c r="H244" s="44">
        <f t="shared" si="103"/>
        <v>3.500986134055928E-3</v>
      </c>
      <c r="I244" s="43">
        <f>7990664.7*H244/100+50</f>
        <v>329.75206316590169</v>
      </c>
      <c r="J244" s="43"/>
      <c r="K244" s="43"/>
      <c r="L244" s="43">
        <f t="shared" si="104"/>
        <v>329.75206316590169</v>
      </c>
      <c r="M244" s="43">
        <v>283.8</v>
      </c>
      <c r="N244" s="43">
        <f t="shared" si="105"/>
        <v>-45.952063165901677</v>
      </c>
      <c r="O244" s="43">
        <f t="shared" si="106"/>
        <v>86.064662424027745</v>
      </c>
      <c r="P244" s="43">
        <v>1039.0999999999999</v>
      </c>
      <c r="Q244" s="44">
        <f t="shared" si="107"/>
        <v>4.239558066606643E-3</v>
      </c>
      <c r="R244" s="43">
        <f>6201897*Q244/100</f>
        <v>262.93302454613536</v>
      </c>
      <c r="S244" s="43"/>
      <c r="T244" s="43"/>
      <c r="U244" s="43"/>
      <c r="V244" s="43"/>
      <c r="W244" s="43"/>
      <c r="X244" s="43">
        <f t="shared" si="108"/>
        <v>262.93302454613536</v>
      </c>
      <c r="Y244" s="43">
        <v>290.53399999999999</v>
      </c>
      <c r="Z244" s="43">
        <f>Y244</f>
        <v>290.53399999999999</v>
      </c>
      <c r="AA244" s="43"/>
      <c r="AB244" s="43"/>
      <c r="AC244" s="43"/>
      <c r="AD244" s="43">
        <f t="shared" si="109"/>
        <v>290.53399999999999</v>
      </c>
      <c r="AE244" s="43">
        <v>427.2</v>
      </c>
      <c r="AF244" s="43"/>
      <c r="AG244" s="43"/>
      <c r="AH244" s="42">
        <f t="shared" si="110"/>
        <v>427.2</v>
      </c>
      <c r="AI244" s="41"/>
      <c r="AJ244" s="40">
        <v>318</v>
      </c>
      <c r="AK244" s="49">
        <f>734.3-400</f>
        <v>334.29999999999995</v>
      </c>
      <c r="AL244" s="39">
        <f t="shared" si="80"/>
        <v>334.29999999999995</v>
      </c>
    </row>
    <row r="245" spans="1:38" s="18" customFormat="1" ht="20.399999999999999" x14ac:dyDescent="0.25">
      <c r="A245" s="46">
        <v>65110</v>
      </c>
      <c r="B245" s="45" t="s">
        <v>57</v>
      </c>
      <c r="C245" s="43">
        <v>141087.29999999999</v>
      </c>
      <c r="D245" s="43">
        <f t="shared" si="101"/>
        <v>11757.275</v>
      </c>
      <c r="E245" s="43">
        <v>8016.2</v>
      </c>
      <c r="F245" s="43">
        <v>11240.5</v>
      </c>
      <c r="G245" s="43">
        <f t="shared" si="102"/>
        <v>32873.340899999996</v>
      </c>
      <c r="H245" s="44">
        <f t="shared" si="103"/>
        <v>0.10611906136891987</v>
      </c>
      <c r="I245" s="43">
        <v>11263.5</v>
      </c>
      <c r="J245" s="43"/>
      <c r="K245" s="43"/>
      <c r="L245" s="43">
        <f t="shared" si="104"/>
        <v>11263.5</v>
      </c>
      <c r="M245" s="43">
        <v>10116.5</v>
      </c>
      <c r="N245" s="43">
        <f t="shared" si="105"/>
        <v>-1147</v>
      </c>
      <c r="O245" s="43">
        <f t="shared" si="106"/>
        <v>89.816664447107925</v>
      </c>
      <c r="P245" s="43">
        <v>37794.100000000006</v>
      </c>
      <c r="Q245" s="44">
        <f t="shared" si="107"/>
        <v>0.15420102158130899</v>
      </c>
      <c r="R245" s="43">
        <f>6201897*Q245/100</f>
        <v>9563.3885314205563</v>
      </c>
      <c r="S245" s="43">
        <v>4646.7</v>
      </c>
      <c r="T245" s="43"/>
      <c r="U245" s="43"/>
      <c r="V245" s="43"/>
      <c r="W245" s="43"/>
      <c r="X245" s="43">
        <f t="shared" si="108"/>
        <v>14210.088531420555</v>
      </c>
      <c r="Y245" s="43">
        <v>9141.7999999999993</v>
      </c>
      <c r="Z245" s="43">
        <f>Y245</f>
        <v>9141.7999999999993</v>
      </c>
      <c r="AA245" s="43"/>
      <c r="AB245" s="43"/>
      <c r="AC245" s="43"/>
      <c r="AD245" s="43">
        <f t="shared" si="109"/>
        <v>9141.7999999999993</v>
      </c>
      <c r="AE245" s="43">
        <v>7632.2</v>
      </c>
      <c r="AF245" s="43">
        <v>1519</v>
      </c>
      <c r="AG245" s="43"/>
      <c r="AH245" s="42">
        <f t="shared" si="110"/>
        <v>9151.2000000000007</v>
      </c>
      <c r="AI245" s="41">
        <f>9151.2+2730.5</f>
        <v>11881.7</v>
      </c>
      <c r="AJ245" s="40">
        <v>17556.400000000001</v>
      </c>
      <c r="AK245" s="49">
        <f>12644.9-2000</f>
        <v>10644.9</v>
      </c>
      <c r="AL245" s="39">
        <f t="shared" si="80"/>
        <v>10644.9</v>
      </c>
    </row>
    <row r="246" spans="1:38" s="18" customFormat="1" ht="13.2" x14ac:dyDescent="0.25">
      <c r="A246" s="46">
        <v>66110</v>
      </c>
      <c r="B246" s="45" t="s">
        <v>56</v>
      </c>
      <c r="C246" s="43">
        <v>11400</v>
      </c>
      <c r="D246" s="43">
        <f t="shared" si="101"/>
        <v>950</v>
      </c>
      <c r="E246" s="43">
        <v>916.6</v>
      </c>
      <c r="F246" s="43">
        <v>319</v>
      </c>
      <c r="G246" s="43">
        <f t="shared" si="102"/>
        <v>2656.2</v>
      </c>
      <c r="H246" s="44">
        <f t="shared" si="103"/>
        <v>6.809095651250598E-3</v>
      </c>
      <c r="I246" s="43">
        <v>1326.7</v>
      </c>
      <c r="J246" s="43"/>
      <c r="K246" s="43"/>
      <c r="L246" s="43">
        <f t="shared" si="104"/>
        <v>1326.7</v>
      </c>
      <c r="M246" s="43">
        <v>1326.7</v>
      </c>
      <c r="N246" s="43">
        <f t="shared" si="105"/>
        <v>0</v>
      </c>
      <c r="O246" s="43">
        <f t="shared" si="106"/>
        <v>100</v>
      </c>
      <c r="P246" s="43">
        <v>3030.2</v>
      </c>
      <c r="Q246" s="44">
        <f t="shared" si="107"/>
        <v>1.2363303679560631E-2</v>
      </c>
      <c r="R246" s="43">
        <f>6201897*Q246/100</f>
        <v>766.75936000356046</v>
      </c>
      <c r="S246" s="43"/>
      <c r="T246" s="43"/>
      <c r="U246" s="43"/>
      <c r="V246" s="43"/>
      <c r="W246" s="43"/>
      <c r="X246" s="43">
        <f t="shared" si="108"/>
        <v>766.75936000356046</v>
      </c>
      <c r="Y246" s="43">
        <v>0</v>
      </c>
      <c r="Z246" s="43">
        <f>D246</f>
        <v>950</v>
      </c>
      <c r="AA246" s="43"/>
      <c r="AB246" s="43"/>
      <c r="AC246" s="43"/>
      <c r="AD246" s="43">
        <f t="shared" si="109"/>
        <v>950</v>
      </c>
      <c r="AE246" s="43">
        <v>1626.3</v>
      </c>
      <c r="AF246" s="43"/>
      <c r="AG246" s="43"/>
      <c r="AH246" s="42">
        <f t="shared" si="110"/>
        <v>1626.3</v>
      </c>
      <c r="AI246" s="41">
        <v>950</v>
      </c>
      <c r="AJ246" s="40">
        <v>997.2</v>
      </c>
      <c r="AK246" s="49">
        <f>1842.5-1000</f>
        <v>842.5</v>
      </c>
      <c r="AL246" s="39">
        <f t="shared" si="80"/>
        <v>842.5</v>
      </c>
    </row>
    <row r="247" spans="1:38" s="18" customFormat="1" ht="20.399999999999999" x14ac:dyDescent="0.25">
      <c r="A247" s="46">
        <v>67110</v>
      </c>
      <c r="B247" s="45" t="s">
        <v>55</v>
      </c>
      <c r="C247" s="43">
        <v>563817.6</v>
      </c>
      <c r="D247" s="43">
        <f t="shared" si="101"/>
        <v>46984.799999999996</v>
      </c>
      <c r="E247" s="43">
        <v>44572</v>
      </c>
      <c r="F247" s="43">
        <v>42757.9</v>
      </c>
      <c r="G247" s="43">
        <f t="shared" si="102"/>
        <v>131369.50080000001</v>
      </c>
      <c r="H247" s="44">
        <f t="shared" si="103"/>
        <v>0.48125416179520036</v>
      </c>
      <c r="I247" s="43">
        <v>36257.699999999997</v>
      </c>
      <c r="J247" s="43"/>
      <c r="K247" s="43"/>
      <c r="L247" s="43">
        <f t="shared" si="104"/>
        <v>36257.699999999997</v>
      </c>
      <c r="M247" s="43">
        <v>36257.699999999997</v>
      </c>
      <c r="N247" s="43">
        <f t="shared" si="105"/>
        <v>0</v>
      </c>
      <c r="O247" s="43">
        <f t="shared" si="106"/>
        <v>100</v>
      </c>
      <c r="P247" s="43">
        <v>171213.90000000002</v>
      </c>
      <c r="Q247" s="44">
        <f t="shared" si="107"/>
        <v>0.69855766611508352</v>
      </c>
      <c r="R247" s="43">
        <f>6201897*Q247/100</f>
        <v>43323.826938061378</v>
      </c>
      <c r="S247" s="43">
        <v>30000</v>
      </c>
      <c r="T247" s="43"/>
      <c r="U247" s="43">
        <v>3000</v>
      </c>
      <c r="V247" s="43"/>
      <c r="W247" s="43"/>
      <c r="X247" s="43">
        <f t="shared" si="108"/>
        <v>76323.826938061378</v>
      </c>
      <c r="Y247" s="43">
        <v>38722.1</v>
      </c>
      <c r="Z247" s="43">
        <f>Y247</f>
        <v>38722.1</v>
      </c>
      <c r="AA247" s="43">
        <v>35000</v>
      </c>
      <c r="AB247" s="43"/>
      <c r="AC247" s="43"/>
      <c r="AD247" s="43">
        <f t="shared" si="109"/>
        <v>73722.100000000006</v>
      </c>
      <c r="AE247" s="43">
        <v>40543.4</v>
      </c>
      <c r="AF247" s="43">
        <f>25000+7000+7000</f>
        <v>39000</v>
      </c>
      <c r="AG247" s="43"/>
      <c r="AH247" s="42">
        <f t="shared" si="110"/>
        <v>79543.399999999994</v>
      </c>
      <c r="AI247" s="41">
        <f>47794.7+38100+55000</f>
        <v>140894.70000000001</v>
      </c>
      <c r="AJ247" s="40">
        <v>57794.7</v>
      </c>
      <c r="AK247" s="49">
        <f>92590.9-25000-20000</f>
        <v>47590.899999999994</v>
      </c>
      <c r="AL247" s="39">
        <f t="shared" si="80"/>
        <v>47590.899999999994</v>
      </c>
    </row>
    <row r="248" spans="1:38" s="18" customFormat="1" ht="20.399999999999999" x14ac:dyDescent="0.25">
      <c r="A248" s="46">
        <v>67120</v>
      </c>
      <c r="B248" s="45" t="s">
        <v>54</v>
      </c>
      <c r="C248" s="43">
        <f>268045.2+16114.7+9871.7</f>
        <v>294031.60000000003</v>
      </c>
      <c r="D248" s="43">
        <f t="shared" si="101"/>
        <v>24502.633333333335</v>
      </c>
      <c r="E248" s="43">
        <v>23119.3</v>
      </c>
      <c r="F248" s="43">
        <v>22638.799999999999</v>
      </c>
      <c r="G248" s="43">
        <f t="shared" si="102"/>
        <v>68509.362800000017</v>
      </c>
      <c r="H248" s="44">
        <f t="shared" si="103"/>
        <v>0.25216192919997571</v>
      </c>
      <c r="I248" s="43">
        <v>21914</v>
      </c>
      <c r="J248" s="43"/>
      <c r="K248" s="43"/>
      <c r="L248" s="43">
        <f t="shared" si="104"/>
        <v>21914</v>
      </c>
      <c r="M248" s="43">
        <v>21914</v>
      </c>
      <c r="N248" s="43">
        <f t="shared" si="105"/>
        <v>0</v>
      </c>
      <c r="O248" s="43">
        <f t="shared" si="106"/>
        <v>100</v>
      </c>
      <c r="P248" s="43">
        <v>78817.700000000012</v>
      </c>
      <c r="Q248" s="44">
        <f t="shared" si="107"/>
        <v>0.3215784966089717</v>
      </c>
      <c r="R248" s="43">
        <f>6201897*Q248/100+2000</f>
        <v>21943.967133836919</v>
      </c>
      <c r="S248" s="43"/>
      <c r="T248" s="43"/>
      <c r="U248" s="43">
        <v>2000</v>
      </c>
      <c r="V248" s="43"/>
      <c r="W248" s="43"/>
      <c r="X248" s="43">
        <f t="shared" si="108"/>
        <v>23943.967133836919</v>
      </c>
      <c r="Y248" s="43">
        <v>21887.432999999997</v>
      </c>
      <c r="Z248" s="43">
        <f>Y248</f>
        <v>21887.432999999997</v>
      </c>
      <c r="AA248" s="43">
        <v>4300</v>
      </c>
      <c r="AB248" s="43"/>
      <c r="AC248" s="43"/>
      <c r="AD248" s="43">
        <f t="shared" si="109"/>
        <v>26187.432999999997</v>
      </c>
      <c r="AE248" s="43">
        <v>28640.5</v>
      </c>
      <c r="AF248" s="43"/>
      <c r="AG248" s="43"/>
      <c r="AH248" s="42">
        <f t="shared" si="110"/>
        <v>28640.5</v>
      </c>
      <c r="AI248" s="41">
        <v>26502.6</v>
      </c>
      <c r="AJ248" s="40">
        <v>28187.599999999999</v>
      </c>
      <c r="AK248" s="49">
        <f>28445.8-4000</f>
        <v>24445.8</v>
      </c>
      <c r="AL248" s="39">
        <f t="shared" si="80"/>
        <v>24445.8</v>
      </c>
    </row>
    <row r="249" spans="1:38" s="18" customFormat="1" ht="13.2" x14ac:dyDescent="0.25">
      <c r="A249" s="46">
        <v>67320</v>
      </c>
      <c r="B249" s="45" t="s">
        <v>53</v>
      </c>
      <c r="C249" s="43">
        <v>344585.6</v>
      </c>
      <c r="D249" s="43">
        <f t="shared" si="101"/>
        <v>28715.466666666664</v>
      </c>
      <c r="E249" s="43">
        <v>27529.7</v>
      </c>
      <c r="F249" s="43">
        <v>30525.8</v>
      </c>
      <c r="G249" s="43">
        <f t="shared" si="102"/>
        <v>80288.444799999997</v>
      </c>
      <c r="H249" s="44">
        <f t="shared" si="103"/>
        <v>0.31992995514825112</v>
      </c>
      <c r="I249" s="43">
        <v>20472.8</v>
      </c>
      <c r="J249" s="43"/>
      <c r="K249" s="43"/>
      <c r="L249" s="43">
        <f>SUM(I249:K249)+8545.1</f>
        <v>29017.9</v>
      </c>
      <c r="M249" s="43">
        <v>27689.1</v>
      </c>
      <c r="N249" s="43">
        <f t="shared" si="105"/>
        <v>-1328.8000000000029</v>
      </c>
      <c r="O249" s="43">
        <f t="shared" si="106"/>
        <v>95.420757532419628</v>
      </c>
      <c r="P249" s="43">
        <v>90995.599999999991</v>
      </c>
      <c r="Q249" s="44">
        <f t="shared" si="107"/>
        <v>0.37126468097941628</v>
      </c>
      <c r="R249" s="43">
        <f>6201897*Q249/100+5000</f>
        <v>28025.453111721989</v>
      </c>
      <c r="S249" s="43"/>
      <c r="T249" s="43"/>
      <c r="U249" s="43"/>
      <c r="V249" s="43"/>
      <c r="W249" s="43"/>
      <c r="X249" s="43">
        <f t="shared" si="108"/>
        <v>28025.453111721989</v>
      </c>
      <c r="Y249" s="43">
        <v>23037.901000000002</v>
      </c>
      <c r="Z249" s="43">
        <f>Y249</f>
        <v>23037.901000000002</v>
      </c>
      <c r="AA249" s="43">
        <v>7218</v>
      </c>
      <c r="AB249" s="43"/>
      <c r="AC249" s="43"/>
      <c r="AD249" s="43">
        <f t="shared" si="109"/>
        <v>30255.901000000002</v>
      </c>
      <c r="AE249" s="43">
        <v>27889.7</v>
      </c>
      <c r="AF249" s="43"/>
      <c r="AG249" s="43"/>
      <c r="AH249" s="42">
        <f t="shared" si="110"/>
        <v>27889.7</v>
      </c>
      <c r="AI249" s="41">
        <f>28497.5+30000</f>
        <v>58497.5</v>
      </c>
      <c r="AJ249" s="40">
        <v>50497.5</v>
      </c>
      <c r="AK249" s="49">
        <f>44361.5-7000-10000</f>
        <v>27361.5</v>
      </c>
      <c r="AL249" s="39">
        <f t="shared" si="80"/>
        <v>27361.5</v>
      </c>
    </row>
    <row r="250" spans="1:38" s="18" customFormat="1" ht="20.399999999999999" x14ac:dyDescent="0.25">
      <c r="A250" s="46">
        <v>68120</v>
      </c>
      <c r="B250" s="45" t="s">
        <v>52</v>
      </c>
      <c r="C250" s="43">
        <v>1044.8</v>
      </c>
      <c r="D250" s="43">
        <f t="shared" si="101"/>
        <v>87.066666666666663</v>
      </c>
      <c r="E250" s="43">
        <v>146.4</v>
      </c>
      <c r="F250" s="43">
        <v>125</v>
      </c>
      <c r="G250" s="43">
        <f t="shared" si="102"/>
        <v>243.4384</v>
      </c>
      <c r="H250" s="44">
        <f t="shared" si="103"/>
        <v>1.4956203947470155E-3</v>
      </c>
      <c r="I250" s="43">
        <v>177.6</v>
      </c>
      <c r="J250" s="43"/>
      <c r="K250" s="43"/>
      <c r="L250" s="43">
        <f t="shared" ref="L250:L274" si="111">SUM(I250:K250)</f>
        <v>177.6</v>
      </c>
      <c r="M250" s="43">
        <v>177.6</v>
      </c>
      <c r="N250" s="43">
        <f t="shared" si="105"/>
        <v>0</v>
      </c>
      <c r="O250" s="43">
        <f t="shared" si="106"/>
        <v>100</v>
      </c>
      <c r="P250" s="43">
        <v>264.39999999999998</v>
      </c>
      <c r="Q250" s="44">
        <f t="shared" si="107"/>
        <v>1.0787596504771403E-3</v>
      </c>
      <c r="R250" s="43">
        <f>6201897*Q250/100+80</f>
        <v>146.90356240015225</v>
      </c>
      <c r="S250" s="43"/>
      <c r="T250" s="43"/>
      <c r="U250" s="43"/>
      <c r="V250" s="43"/>
      <c r="W250" s="43"/>
      <c r="X250" s="43">
        <f t="shared" si="108"/>
        <v>146.90356240015225</v>
      </c>
      <c r="Y250" s="43">
        <v>5.1999999999999993</v>
      </c>
      <c r="Z250" s="43">
        <f>D250</f>
        <v>87.066666666666663</v>
      </c>
      <c r="AA250" s="43"/>
      <c r="AB250" s="43"/>
      <c r="AC250" s="43"/>
      <c r="AD250" s="43">
        <f t="shared" si="109"/>
        <v>87.066666666666663</v>
      </c>
      <c r="AE250" s="43">
        <v>229.1</v>
      </c>
      <c r="AF250" s="43"/>
      <c r="AG250" s="43"/>
      <c r="AH250" s="42">
        <f t="shared" si="110"/>
        <v>229.1</v>
      </c>
      <c r="AI250" s="41">
        <v>87</v>
      </c>
      <c r="AJ250" s="40">
        <v>77</v>
      </c>
      <c r="AK250" s="49">
        <v>0</v>
      </c>
      <c r="AL250" s="39">
        <f t="shared" si="80"/>
        <v>0</v>
      </c>
    </row>
    <row r="251" spans="1:38" s="18" customFormat="1" ht="13.5" customHeight="1" x14ac:dyDescent="0.25">
      <c r="A251" s="46">
        <v>69110</v>
      </c>
      <c r="B251" s="45" t="s">
        <v>51</v>
      </c>
      <c r="C251" s="43">
        <v>105225.4</v>
      </c>
      <c r="D251" s="43">
        <f t="shared" si="101"/>
        <v>8768.7833333333328</v>
      </c>
      <c r="E251" s="43">
        <v>8627.9</v>
      </c>
      <c r="F251" s="43">
        <v>8737.2999999999993</v>
      </c>
      <c r="G251" s="43">
        <f t="shared" si="102"/>
        <v>24517.518199999999</v>
      </c>
      <c r="H251" s="44">
        <f t="shared" si="103"/>
        <v>9.5695457917689269E-2</v>
      </c>
      <c r="I251" s="43">
        <v>7614.5</v>
      </c>
      <c r="J251" s="43"/>
      <c r="K251" s="43"/>
      <c r="L251" s="43">
        <f t="shared" si="111"/>
        <v>7614.5</v>
      </c>
      <c r="M251" s="43">
        <v>7614.5</v>
      </c>
      <c r="N251" s="43">
        <f t="shared" si="105"/>
        <v>0</v>
      </c>
      <c r="O251" s="43">
        <f t="shared" si="106"/>
        <v>100</v>
      </c>
      <c r="P251" s="43">
        <v>27328.3</v>
      </c>
      <c r="Q251" s="44">
        <f t="shared" si="107"/>
        <v>0.11150025475088668</v>
      </c>
      <c r="R251" s="43">
        <f>6201897*Q251/100+1000</f>
        <v>7915.1309543875986</v>
      </c>
      <c r="S251" s="43">
        <v>1194.3</v>
      </c>
      <c r="T251" s="43"/>
      <c r="U251" s="43"/>
      <c r="V251" s="43"/>
      <c r="W251" s="43"/>
      <c r="X251" s="43">
        <f t="shared" si="108"/>
        <v>9109.4309543875988</v>
      </c>
      <c r="Y251" s="43">
        <v>8985.2669999999998</v>
      </c>
      <c r="Z251" s="43">
        <f t="shared" ref="Z251:Z269" si="112">Y251</f>
        <v>8985.2669999999998</v>
      </c>
      <c r="AA251" s="43"/>
      <c r="AB251" s="43"/>
      <c r="AC251" s="43"/>
      <c r="AD251" s="43">
        <f t="shared" si="109"/>
        <v>8985.2669999999998</v>
      </c>
      <c r="AE251" s="43">
        <v>8985.2999999999993</v>
      </c>
      <c r="AF251" s="43"/>
      <c r="AG251" s="43">
        <v>248.3</v>
      </c>
      <c r="AH251" s="42">
        <f t="shared" si="110"/>
        <v>9233.5999999999985</v>
      </c>
      <c r="AI251" s="41">
        <v>8337.9</v>
      </c>
      <c r="AJ251" s="40">
        <v>8840.1999999999989</v>
      </c>
      <c r="AK251" s="49">
        <v>8558.4</v>
      </c>
      <c r="AL251" s="39">
        <f t="shared" si="80"/>
        <v>8558.4</v>
      </c>
    </row>
    <row r="252" spans="1:38" s="18" customFormat="1" ht="20.399999999999999" x14ac:dyDescent="0.25">
      <c r="A252" s="46">
        <v>69120</v>
      </c>
      <c r="B252" s="45" t="s">
        <v>50</v>
      </c>
      <c r="C252" s="43">
        <f>1691725.2+6502.6+4441.6</f>
        <v>1702669.4000000001</v>
      </c>
      <c r="D252" s="43">
        <f t="shared" si="101"/>
        <v>141889.11666666667</v>
      </c>
      <c r="E252" s="43">
        <v>128593</v>
      </c>
      <c r="F252" s="43">
        <v>126130.6</v>
      </c>
      <c r="G252" s="43">
        <f t="shared" si="102"/>
        <v>396721.97020000004</v>
      </c>
      <c r="H252" s="44">
        <f t="shared" si="103"/>
        <v>1.4037207486491559</v>
      </c>
      <c r="I252" s="43">
        <v>130175.4</v>
      </c>
      <c r="J252" s="43">
        <v>20894</v>
      </c>
      <c r="K252" s="43"/>
      <c r="L252" s="43">
        <f t="shared" si="111"/>
        <v>151069.4</v>
      </c>
      <c r="M252" s="43">
        <v>149221.1</v>
      </c>
      <c r="N252" s="43">
        <f t="shared" si="105"/>
        <v>-1848.2999999999884</v>
      </c>
      <c r="O252" s="43">
        <f t="shared" si="106"/>
        <v>98.776522578364663</v>
      </c>
      <c r="P252" s="43">
        <v>440588.5</v>
      </c>
      <c r="Q252" s="44">
        <f t="shared" si="107"/>
        <v>1.7976138285334626</v>
      </c>
      <c r="R252" s="43">
        <f>6201897*Q252/100+15000</f>
        <v>126486.15810340196</v>
      </c>
      <c r="S252" s="43">
        <v>28048.400000000001</v>
      </c>
      <c r="T252" s="43"/>
      <c r="U252" s="43"/>
      <c r="V252" s="43"/>
      <c r="W252" s="43"/>
      <c r="X252" s="43">
        <f t="shared" si="108"/>
        <v>154534.55810340197</v>
      </c>
      <c r="Y252" s="43">
        <v>123881.466</v>
      </c>
      <c r="Z252" s="43">
        <f t="shared" si="112"/>
        <v>123881.466</v>
      </c>
      <c r="AA252" s="43">
        <v>17333.900000000001</v>
      </c>
      <c r="AB252" s="43"/>
      <c r="AC252" s="43"/>
      <c r="AD252" s="43">
        <f t="shared" si="109"/>
        <v>141215.36600000001</v>
      </c>
      <c r="AE252" s="43">
        <v>147541.4</v>
      </c>
      <c r="AF252" s="43"/>
      <c r="AG252" s="43">
        <v>-248.3</v>
      </c>
      <c r="AH252" s="42">
        <f t="shared" si="110"/>
        <v>147293.1</v>
      </c>
      <c r="AI252" s="41">
        <f>140818.5+1000</f>
        <v>141818.5</v>
      </c>
      <c r="AJ252" s="40">
        <v>168009.1</v>
      </c>
      <c r="AK252" s="49">
        <f>280537-149051.6+12650-20000</f>
        <v>124135.4</v>
      </c>
      <c r="AL252" s="39">
        <f t="shared" si="80"/>
        <v>124135.4</v>
      </c>
    </row>
    <row r="253" spans="1:38" s="18" customFormat="1" ht="20.399999999999999" x14ac:dyDescent="0.25">
      <c r="A253" s="46">
        <v>70120</v>
      </c>
      <c r="B253" s="45" t="s">
        <v>49</v>
      </c>
      <c r="C253" s="43">
        <v>15040.9</v>
      </c>
      <c r="D253" s="43">
        <f t="shared" si="101"/>
        <v>1253.4083333333333</v>
      </c>
      <c r="E253" s="43">
        <v>1193</v>
      </c>
      <c r="F253" s="43">
        <v>1151.8</v>
      </c>
      <c r="G253" s="43">
        <f t="shared" si="102"/>
        <v>3504.5297000000005</v>
      </c>
      <c r="H253" s="44">
        <f t="shared" si="103"/>
        <v>1.2921631177607968E-2</v>
      </c>
      <c r="I253" s="43">
        <v>999.5</v>
      </c>
      <c r="J253" s="43"/>
      <c r="K253" s="43"/>
      <c r="L253" s="43">
        <f t="shared" si="111"/>
        <v>999.5</v>
      </c>
      <c r="M253" s="43">
        <v>997.7</v>
      </c>
      <c r="N253" s="43">
        <f t="shared" si="105"/>
        <v>-1.7999999999999545</v>
      </c>
      <c r="O253" s="43">
        <f t="shared" si="106"/>
        <v>99.81990995497749</v>
      </c>
      <c r="P253" s="43">
        <v>4066.5999999999995</v>
      </c>
      <c r="Q253" s="44">
        <f t="shared" si="107"/>
        <v>1.6591845668042126E-2</v>
      </c>
      <c r="R253" s="43">
        <f>6201897*Q253/100</f>
        <v>1029.0091787309345</v>
      </c>
      <c r="S253" s="43"/>
      <c r="T253" s="43"/>
      <c r="U253" s="43"/>
      <c r="V253" s="43"/>
      <c r="W253" s="43"/>
      <c r="X253" s="43">
        <f t="shared" si="108"/>
        <v>1029.0091787309345</v>
      </c>
      <c r="Y253" s="43">
        <v>1113.1329999999998</v>
      </c>
      <c r="Z253" s="43">
        <f t="shared" si="112"/>
        <v>1113.1329999999998</v>
      </c>
      <c r="AA253" s="43"/>
      <c r="AB253" s="43"/>
      <c r="AC253" s="43"/>
      <c r="AD253" s="43">
        <f t="shared" si="109"/>
        <v>1113.1329999999998</v>
      </c>
      <c r="AE253" s="43">
        <v>1217.9000000000001</v>
      </c>
      <c r="AF253" s="43"/>
      <c r="AG253" s="43"/>
      <c r="AH253" s="42">
        <f t="shared" si="110"/>
        <v>1217.9000000000001</v>
      </c>
      <c r="AI253" s="41">
        <v>1281.5</v>
      </c>
      <c r="AJ253" s="40">
        <v>1420.4</v>
      </c>
      <c r="AK253" s="49">
        <f>1726.1-500</f>
        <v>1226.0999999999999</v>
      </c>
      <c r="AL253" s="39">
        <f t="shared" si="80"/>
        <v>1226.0999999999999</v>
      </c>
    </row>
    <row r="254" spans="1:38" s="18" customFormat="1" ht="20.399999999999999" x14ac:dyDescent="0.25">
      <c r="A254" s="46">
        <v>71110</v>
      </c>
      <c r="B254" s="45" t="s">
        <v>48</v>
      </c>
      <c r="C254" s="43">
        <v>27197.1</v>
      </c>
      <c r="D254" s="43">
        <f t="shared" si="101"/>
        <v>2266.4249999999997</v>
      </c>
      <c r="E254" s="43">
        <v>2879.3</v>
      </c>
      <c r="F254" s="43">
        <v>1445.2</v>
      </c>
      <c r="G254" s="43">
        <f t="shared" si="102"/>
        <v>6336.9242999999997</v>
      </c>
      <c r="H254" s="44">
        <f t="shared" si="103"/>
        <v>2.3831283703328918E-2</v>
      </c>
      <c r="I254" s="43">
        <v>2524.5</v>
      </c>
      <c r="J254" s="43"/>
      <c r="K254" s="43"/>
      <c r="L254" s="43">
        <f t="shared" si="111"/>
        <v>2524.5</v>
      </c>
      <c r="M254" s="43">
        <v>2524.1999999999998</v>
      </c>
      <c r="N254" s="43">
        <f t="shared" si="105"/>
        <v>-0.3000000000001819</v>
      </c>
      <c r="O254" s="43">
        <f t="shared" si="106"/>
        <v>99.988116458704695</v>
      </c>
      <c r="P254" s="43">
        <v>6811.9</v>
      </c>
      <c r="Q254" s="44">
        <f t="shared" si="107"/>
        <v>2.7792749103953227E-2</v>
      </c>
      <c r="R254" s="43">
        <f>6201897*Q254/100+300</f>
        <v>2023.677672895602</v>
      </c>
      <c r="S254" s="43"/>
      <c r="T254" s="43"/>
      <c r="U254" s="43"/>
      <c r="V254" s="43"/>
      <c r="W254" s="43"/>
      <c r="X254" s="43">
        <f t="shared" si="108"/>
        <v>2023.677672895602</v>
      </c>
      <c r="Y254" s="43">
        <v>1114.866</v>
      </c>
      <c r="Z254" s="43">
        <f t="shared" si="112"/>
        <v>1114.866</v>
      </c>
      <c r="AA254" s="43"/>
      <c r="AB254" s="43"/>
      <c r="AC254" s="43"/>
      <c r="AD254" s="43">
        <f t="shared" si="109"/>
        <v>1114.866</v>
      </c>
      <c r="AE254" s="43">
        <v>1644.1</v>
      </c>
      <c r="AF254" s="43"/>
      <c r="AG254" s="43"/>
      <c r="AH254" s="42">
        <f t="shared" si="110"/>
        <v>1644.1</v>
      </c>
      <c r="AI254" s="41">
        <v>1644.1</v>
      </c>
      <c r="AJ254" s="40">
        <v>2896.3</v>
      </c>
      <c r="AK254" s="49">
        <f>4641.6-2000-1000</f>
        <v>1641.6000000000004</v>
      </c>
      <c r="AL254" s="39">
        <f t="shared" si="80"/>
        <v>1641.6000000000004</v>
      </c>
    </row>
    <row r="255" spans="1:38" s="18" customFormat="1" ht="20.399999999999999" x14ac:dyDescent="0.25">
      <c r="A255" s="46">
        <v>72110</v>
      </c>
      <c r="B255" s="45" t="s">
        <v>47</v>
      </c>
      <c r="C255" s="43">
        <v>25090.2</v>
      </c>
      <c r="D255" s="43">
        <f t="shared" si="101"/>
        <v>2090.85</v>
      </c>
      <c r="E255" s="43">
        <v>2029.2</v>
      </c>
      <c r="F255" s="43">
        <v>1663.1</v>
      </c>
      <c r="G255" s="43">
        <f t="shared" si="102"/>
        <v>5846.0165999999999</v>
      </c>
      <c r="H255" s="44">
        <f t="shared" si="103"/>
        <v>2.0347380926766415E-2</v>
      </c>
      <c r="I255" s="43">
        <v>2234.6999999999998</v>
      </c>
      <c r="J255" s="43"/>
      <c r="K255" s="43"/>
      <c r="L255" s="43">
        <f t="shared" si="111"/>
        <v>2234.6999999999998</v>
      </c>
      <c r="M255" s="43">
        <v>1547.4</v>
      </c>
      <c r="N255" s="43">
        <f t="shared" si="105"/>
        <v>-687.29999999999973</v>
      </c>
      <c r="O255" s="43">
        <f t="shared" si="106"/>
        <v>69.244193851523704</v>
      </c>
      <c r="P255" s="43">
        <v>6675.2999999999993</v>
      </c>
      <c r="Q255" s="44">
        <f t="shared" si="107"/>
        <v>2.7235417151399599E-2</v>
      </c>
      <c r="R255" s="43">
        <f>6201897*Q255/100</f>
        <v>1689.1125192501372</v>
      </c>
      <c r="S255" s="43"/>
      <c r="T255" s="43"/>
      <c r="U255" s="43"/>
      <c r="V255" s="43"/>
      <c r="W255" s="43"/>
      <c r="X255" s="43">
        <f t="shared" si="108"/>
        <v>1689.1125192501372</v>
      </c>
      <c r="Y255" s="43">
        <v>1828.5340000000001</v>
      </c>
      <c r="Z255" s="43">
        <f t="shared" si="112"/>
        <v>1828.5340000000001</v>
      </c>
      <c r="AA255" s="43"/>
      <c r="AB255" s="43"/>
      <c r="AC255" s="43"/>
      <c r="AD255" s="43">
        <f t="shared" si="109"/>
        <v>1828.5340000000001</v>
      </c>
      <c r="AE255" s="43">
        <f>4049.8-2000</f>
        <v>2049.8000000000002</v>
      </c>
      <c r="AF255" s="43"/>
      <c r="AG255" s="43"/>
      <c r="AH255" s="42">
        <f t="shared" si="110"/>
        <v>2049.8000000000002</v>
      </c>
      <c r="AI255" s="41">
        <v>2080.9</v>
      </c>
      <c r="AJ255" s="40">
        <v>2080.9</v>
      </c>
      <c r="AK255" s="49">
        <f>4629.3-2000-1000</f>
        <v>1629.3000000000002</v>
      </c>
      <c r="AL255" s="39">
        <f t="shared" ref="AL255:AL276" si="113">AK255</f>
        <v>1629.3000000000002</v>
      </c>
    </row>
    <row r="256" spans="1:38" s="18" customFormat="1" ht="20.399999999999999" x14ac:dyDescent="0.25">
      <c r="A256" s="46">
        <v>72120</v>
      </c>
      <c r="B256" s="45" t="s">
        <v>46</v>
      </c>
      <c r="C256" s="43">
        <v>15149.3</v>
      </c>
      <c r="D256" s="43">
        <f t="shared" si="101"/>
        <v>1262.4416666666666</v>
      </c>
      <c r="E256" s="43">
        <v>1214.5</v>
      </c>
      <c r="F256" s="43">
        <v>1195.4000000000001</v>
      </c>
      <c r="G256" s="43">
        <f t="shared" si="102"/>
        <v>3529.7869000000001</v>
      </c>
      <c r="H256" s="44">
        <f t="shared" si="103"/>
        <v>1.3280381684969906E-2</v>
      </c>
      <c r="I256" s="43">
        <v>1226.0999999999999</v>
      </c>
      <c r="J256" s="43"/>
      <c r="K256" s="43"/>
      <c r="L256" s="43">
        <f t="shared" si="111"/>
        <v>1226.0999999999999</v>
      </c>
      <c r="M256" s="43">
        <v>1169.7</v>
      </c>
      <c r="N256" s="43">
        <f t="shared" si="105"/>
        <v>-56.399999999999864</v>
      </c>
      <c r="O256" s="43">
        <f t="shared" si="106"/>
        <v>95.400048935649622</v>
      </c>
      <c r="P256" s="43">
        <v>4013.7</v>
      </c>
      <c r="Q256" s="44">
        <f t="shared" si="107"/>
        <v>1.6376012137367994E-2</v>
      </c>
      <c r="R256" s="43">
        <f>6201897*Q256/100+200</f>
        <v>1215.6234054670615</v>
      </c>
      <c r="S256" s="43"/>
      <c r="T256" s="43"/>
      <c r="U256" s="43"/>
      <c r="V256" s="43"/>
      <c r="W256" s="43"/>
      <c r="X256" s="43">
        <f t="shared" si="108"/>
        <v>1215.6234054670615</v>
      </c>
      <c r="Y256" s="43">
        <v>1098.0990000000002</v>
      </c>
      <c r="Z256" s="43">
        <f t="shared" si="112"/>
        <v>1098.0990000000002</v>
      </c>
      <c r="AA256" s="43"/>
      <c r="AB256" s="43"/>
      <c r="AC256" s="43"/>
      <c r="AD256" s="43">
        <f t="shared" si="109"/>
        <v>1098.0990000000002</v>
      </c>
      <c r="AE256" s="43">
        <f>2210.5-800</f>
        <v>1410.5</v>
      </c>
      <c r="AF256" s="43"/>
      <c r="AG256" s="43"/>
      <c r="AH256" s="42">
        <f t="shared" si="110"/>
        <v>1410.5</v>
      </c>
      <c r="AI256" s="41">
        <v>1284.5999999999999</v>
      </c>
      <c r="AJ256" s="40">
        <v>1284.5999999999999</v>
      </c>
      <c r="AK256" s="49">
        <f>2184.6-1000</f>
        <v>1184.5999999999999</v>
      </c>
      <c r="AL256" s="39">
        <f t="shared" si="113"/>
        <v>1184.5999999999999</v>
      </c>
    </row>
    <row r="257" spans="1:38" s="18" customFormat="1" ht="20.399999999999999" x14ac:dyDescent="0.25">
      <c r="A257" s="46">
        <v>73110</v>
      </c>
      <c r="B257" s="45" t="s">
        <v>45</v>
      </c>
      <c r="C257" s="43">
        <v>37772.6</v>
      </c>
      <c r="D257" s="43">
        <f t="shared" si="101"/>
        <v>3147.7166666666667</v>
      </c>
      <c r="E257" s="43">
        <v>2588.1999999999998</v>
      </c>
      <c r="F257" s="43">
        <v>12598.7</v>
      </c>
      <c r="G257" s="43">
        <f t="shared" si="102"/>
        <v>8801.0157999999992</v>
      </c>
      <c r="H257" s="44">
        <f t="shared" si="103"/>
        <v>8.3691368360292756E-2</v>
      </c>
      <c r="I257" s="43">
        <v>2145.5</v>
      </c>
      <c r="J257" s="43"/>
      <c r="K257" s="43"/>
      <c r="L257" s="43">
        <f t="shared" si="111"/>
        <v>2145.5</v>
      </c>
      <c r="M257" s="43">
        <v>2031.6</v>
      </c>
      <c r="N257" s="43">
        <f t="shared" si="105"/>
        <v>-113.90000000000009</v>
      </c>
      <c r="O257" s="43">
        <f t="shared" si="106"/>
        <v>94.691214169191326</v>
      </c>
      <c r="P257" s="43">
        <v>7414.3999999999978</v>
      </c>
      <c r="Q257" s="44">
        <f t="shared" si="107"/>
        <v>3.0250966537434597E-2</v>
      </c>
      <c r="R257" s="43">
        <f>6201897*Q257/100+200</f>
        <v>2076.1337861561601</v>
      </c>
      <c r="S257" s="43"/>
      <c r="T257" s="43"/>
      <c r="U257" s="43"/>
      <c r="V257" s="43"/>
      <c r="W257" s="43"/>
      <c r="X257" s="43">
        <f t="shared" si="108"/>
        <v>2076.1337861561601</v>
      </c>
      <c r="Y257" s="43">
        <v>1588.1670000000001</v>
      </c>
      <c r="Z257" s="43">
        <f t="shared" si="112"/>
        <v>1588.1670000000001</v>
      </c>
      <c r="AA257" s="43">
        <v>4100</v>
      </c>
      <c r="AB257" s="43"/>
      <c r="AC257" s="43"/>
      <c r="AD257" s="43">
        <f t="shared" si="109"/>
        <v>5688.1670000000004</v>
      </c>
      <c r="AE257" s="43">
        <f>3447.7-1000</f>
        <v>2447.6999999999998</v>
      </c>
      <c r="AF257" s="43"/>
      <c r="AG257" s="43"/>
      <c r="AH257" s="42">
        <f t="shared" si="110"/>
        <v>2447.6999999999998</v>
      </c>
      <c r="AI257" s="41">
        <v>2447.4</v>
      </c>
      <c r="AJ257" s="40">
        <v>1972.3</v>
      </c>
      <c r="AK257" s="49">
        <f>7504-5000-500</f>
        <v>2004</v>
      </c>
      <c r="AL257" s="39">
        <f t="shared" si="113"/>
        <v>2004</v>
      </c>
    </row>
    <row r="258" spans="1:38" s="18" customFormat="1" ht="20.399999999999999" x14ac:dyDescent="0.25">
      <c r="A258" s="46">
        <v>73131</v>
      </c>
      <c r="B258" s="45" t="s">
        <v>44</v>
      </c>
      <c r="C258" s="43">
        <v>20000</v>
      </c>
      <c r="D258" s="43">
        <f t="shared" si="101"/>
        <v>1666.6666666666667</v>
      </c>
      <c r="E258" s="43"/>
      <c r="F258" s="43"/>
      <c r="G258" s="43">
        <f t="shared" si="102"/>
        <v>4660</v>
      </c>
      <c r="H258" s="44">
        <f t="shared" si="103"/>
        <v>0</v>
      </c>
      <c r="I258" s="43">
        <f>7990664.7*H258/100+1666.7</f>
        <v>1666.7</v>
      </c>
      <c r="J258" s="43"/>
      <c r="K258" s="43"/>
      <c r="L258" s="43">
        <f t="shared" si="111"/>
        <v>1666.7</v>
      </c>
      <c r="M258" s="47"/>
      <c r="N258" s="43">
        <f t="shared" si="105"/>
        <v>-1666.7</v>
      </c>
      <c r="O258" s="43">
        <f t="shared" si="106"/>
        <v>0</v>
      </c>
      <c r="P258" s="44"/>
      <c r="Q258" s="44">
        <f t="shared" si="107"/>
        <v>0</v>
      </c>
      <c r="R258" s="43">
        <f>6201897*Q258/100</f>
        <v>0</v>
      </c>
      <c r="S258" s="43"/>
      <c r="T258" s="43"/>
      <c r="U258" s="43"/>
      <c r="V258" s="43"/>
      <c r="W258" s="43"/>
      <c r="X258" s="43">
        <f t="shared" si="108"/>
        <v>0</v>
      </c>
      <c r="Y258" s="43"/>
      <c r="Z258" s="43">
        <f t="shared" si="112"/>
        <v>0</v>
      </c>
      <c r="AA258" s="43"/>
      <c r="AB258" s="43"/>
      <c r="AC258" s="43"/>
      <c r="AD258" s="43">
        <f t="shared" si="109"/>
        <v>0</v>
      </c>
      <c r="AE258" s="43"/>
      <c r="AF258" s="43"/>
      <c r="AG258" s="43"/>
      <c r="AH258" s="42">
        <f t="shared" si="110"/>
        <v>0</v>
      </c>
      <c r="AI258" s="41">
        <v>2843.1</v>
      </c>
      <c r="AJ258" s="40">
        <v>2843.1</v>
      </c>
      <c r="AK258" s="49">
        <f>14529.4-12000</f>
        <v>2529.3999999999996</v>
      </c>
      <c r="AL258" s="39">
        <f t="shared" si="113"/>
        <v>2529.3999999999996</v>
      </c>
    </row>
    <row r="259" spans="1:38" s="18" customFormat="1" ht="20.399999999999999" x14ac:dyDescent="0.25">
      <c r="A259" s="46">
        <v>73221</v>
      </c>
      <c r="B259" s="45" t="s">
        <v>43</v>
      </c>
      <c r="C259" s="43">
        <v>6955.3</v>
      </c>
      <c r="D259" s="43">
        <f t="shared" si="101"/>
        <v>579.60833333333335</v>
      </c>
      <c r="E259" s="43"/>
      <c r="F259" s="43"/>
      <c r="G259" s="43">
        <f t="shared" si="102"/>
        <v>1620.5849000000003</v>
      </c>
      <c r="H259" s="44">
        <f t="shared" si="103"/>
        <v>0</v>
      </c>
      <c r="I259" s="43">
        <f>7990664.7*H259/100+579.6</f>
        <v>579.6</v>
      </c>
      <c r="J259" s="43"/>
      <c r="K259" s="43">
        <v>554.9</v>
      </c>
      <c r="L259" s="43">
        <f t="shared" si="111"/>
        <v>1134.5</v>
      </c>
      <c r="M259" s="43">
        <v>1134.5</v>
      </c>
      <c r="N259" s="43">
        <f t="shared" si="105"/>
        <v>0</v>
      </c>
      <c r="O259" s="43">
        <f t="shared" si="106"/>
        <v>100</v>
      </c>
      <c r="P259" s="43">
        <v>1977.6999999999998</v>
      </c>
      <c r="Q259" s="44">
        <f t="shared" si="107"/>
        <v>8.0690732252217852E-3</v>
      </c>
      <c r="R259" s="43">
        <f>6201897*Q259/100</f>
        <v>500.43561028283312</v>
      </c>
      <c r="S259" s="43"/>
      <c r="T259" s="43"/>
      <c r="U259" s="43"/>
      <c r="V259" s="43"/>
      <c r="W259" s="43"/>
      <c r="X259" s="43">
        <f t="shared" si="108"/>
        <v>500.43561028283312</v>
      </c>
      <c r="Y259" s="43">
        <v>241.06699999999998</v>
      </c>
      <c r="Z259" s="43">
        <f t="shared" si="112"/>
        <v>241.06699999999998</v>
      </c>
      <c r="AA259" s="43"/>
      <c r="AB259" s="43"/>
      <c r="AC259" s="43">
        <v>80</v>
      </c>
      <c r="AD259" s="43">
        <f t="shared" si="109"/>
        <v>321.06700000000001</v>
      </c>
      <c r="AE259" s="43">
        <v>175.7</v>
      </c>
      <c r="AF259" s="43">
        <v>375</v>
      </c>
      <c r="AG259" s="43"/>
      <c r="AH259" s="42">
        <f t="shared" si="110"/>
        <v>550.70000000000005</v>
      </c>
      <c r="AI259" s="41">
        <v>775.8</v>
      </c>
      <c r="AJ259" s="40">
        <v>1895.3</v>
      </c>
      <c r="AK259" s="49">
        <v>229.4</v>
      </c>
      <c r="AL259" s="39">
        <f t="shared" si="113"/>
        <v>229.4</v>
      </c>
    </row>
    <row r="260" spans="1:38" s="18" customFormat="1" ht="12.75" customHeight="1" x14ac:dyDescent="0.25">
      <c r="A260" s="46">
        <v>74110</v>
      </c>
      <c r="B260" s="45" t="s">
        <v>42</v>
      </c>
      <c r="C260" s="43">
        <v>29001.200000000001</v>
      </c>
      <c r="D260" s="43">
        <f t="shared" si="101"/>
        <v>2416.7666666666669</v>
      </c>
      <c r="E260" s="43">
        <v>2434.5</v>
      </c>
      <c r="F260" s="43">
        <v>2336.1</v>
      </c>
      <c r="G260" s="43">
        <f t="shared" si="102"/>
        <v>6757.2796000000008</v>
      </c>
      <c r="H260" s="44">
        <f t="shared" si="103"/>
        <v>2.6289633954237706E-2</v>
      </c>
      <c r="I260" s="43">
        <v>1960.4</v>
      </c>
      <c r="J260" s="43"/>
      <c r="K260" s="43"/>
      <c r="L260" s="43">
        <f t="shared" si="111"/>
        <v>1960.4</v>
      </c>
      <c r="M260" s="43">
        <v>1960.4</v>
      </c>
      <c r="N260" s="43">
        <f t="shared" si="105"/>
        <v>0</v>
      </c>
      <c r="O260" s="43">
        <f t="shared" si="106"/>
        <v>100</v>
      </c>
      <c r="P260" s="43">
        <v>7587.7000000000007</v>
      </c>
      <c r="Q260" s="44">
        <f t="shared" si="107"/>
        <v>3.0958035551911491E-2</v>
      </c>
      <c r="R260" s="43">
        <f>6201897*Q260/100</f>
        <v>1919.9854781529323</v>
      </c>
      <c r="S260" s="43"/>
      <c r="T260" s="43"/>
      <c r="U260" s="43"/>
      <c r="V260" s="43"/>
      <c r="W260" s="43"/>
      <c r="X260" s="43">
        <f t="shared" si="108"/>
        <v>1919.9854781529323</v>
      </c>
      <c r="Y260" s="43">
        <v>2370.5670000000005</v>
      </c>
      <c r="Z260" s="43">
        <f t="shared" si="112"/>
        <v>2370.5670000000005</v>
      </c>
      <c r="AA260" s="43">
        <v>150</v>
      </c>
      <c r="AB260" s="43"/>
      <c r="AC260" s="43"/>
      <c r="AD260" s="43">
        <f t="shared" si="109"/>
        <v>2520.5670000000005</v>
      </c>
      <c r="AE260" s="43">
        <v>2955.3</v>
      </c>
      <c r="AF260" s="43"/>
      <c r="AG260" s="43"/>
      <c r="AH260" s="42">
        <f t="shared" si="110"/>
        <v>2955.3</v>
      </c>
      <c r="AI260" s="41">
        <v>1954.9</v>
      </c>
      <c r="AJ260" s="40">
        <v>2418.4</v>
      </c>
      <c r="AK260" s="49">
        <f>3268.5-1000</f>
        <v>2268.5</v>
      </c>
      <c r="AL260" s="39">
        <f t="shared" si="113"/>
        <v>2268.5</v>
      </c>
    </row>
    <row r="261" spans="1:38" s="18" customFormat="1" ht="20.399999999999999" x14ac:dyDescent="0.25">
      <c r="A261" s="46">
        <v>74120</v>
      </c>
      <c r="B261" s="45" t="s">
        <v>41</v>
      </c>
      <c r="C261" s="43">
        <f>181959.5+2931.8+1241.6</f>
        <v>186132.9</v>
      </c>
      <c r="D261" s="43">
        <f t="shared" si="101"/>
        <v>15511.074999999999</v>
      </c>
      <c r="E261" s="43">
        <v>14905.9</v>
      </c>
      <c r="F261" s="43">
        <v>14689.6</v>
      </c>
      <c r="G261" s="43">
        <f t="shared" si="102"/>
        <v>43368.965700000001</v>
      </c>
      <c r="H261" s="44">
        <f t="shared" si="103"/>
        <v>0.16309371183763927</v>
      </c>
      <c r="I261" s="43">
        <v>14578.1</v>
      </c>
      <c r="J261" s="43"/>
      <c r="K261" s="43"/>
      <c r="L261" s="43">
        <f t="shared" si="111"/>
        <v>14578.1</v>
      </c>
      <c r="M261" s="43">
        <v>14334.4</v>
      </c>
      <c r="N261" s="43">
        <f t="shared" si="105"/>
        <v>-243.70000000000073</v>
      </c>
      <c r="O261" s="43">
        <f t="shared" si="106"/>
        <v>98.328314389392304</v>
      </c>
      <c r="P261" s="43">
        <v>48696.2</v>
      </c>
      <c r="Q261" s="44">
        <f t="shared" si="107"/>
        <v>0.19868190503617594</v>
      </c>
      <c r="R261" s="43">
        <f>6201897*Q261/100+2000</f>
        <v>14322.047107981445</v>
      </c>
      <c r="S261" s="43"/>
      <c r="T261" s="43"/>
      <c r="U261" s="43"/>
      <c r="V261" s="43"/>
      <c r="W261" s="43"/>
      <c r="X261" s="43">
        <f t="shared" si="108"/>
        <v>14322.047107981445</v>
      </c>
      <c r="Y261" s="43">
        <v>14868.832999999999</v>
      </c>
      <c r="Z261" s="43">
        <f t="shared" si="112"/>
        <v>14868.832999999999</v>
      </c>
      <c r="AA261" s="43">
        <v>292.89999999999998</v>
      </c>
      <c r="AB261" s="43"/>
      <c r="AC261" s="43"/>
      <c r="AD261" s="43">
        <f t="shared" si="109"/>
        <v>15161.732999999998</v>
      </c>
      <c r="AE261" s="43">
        <v>16381.7</v>
      </c>
      <c r="AF261" s="43"/>
      <c r="AG261" s="43"/>
      <c r="AH261" s="42">
        <f t="shared" si="110"/>
        <v>16381.7</v>
      </c>
      <c r="AI261" s="41">
        <v>15466.4</v>
      </c>
      <c r="AJ261" s="40">
        <v>14998.2</v>
      </c>
      <c r="AK261" s="49">
        <f>19453.9-5000-1000</f>
        <v>13453.900000000001</v>
      </c>
      <c r="AL261" s="39">
        <f t="shared" si="113"/>
        <v>13453.900000000001</v>
      </c>
    </row>
    <row r="262" spans="1:38" s="18" customFormat="1" ht="20.399999999999999" x14ac:dyDescent="0.25">
      <c r="A262" s="46">
        <v>75120</v>
      </c>
      <c r="B262" s="45" t="s">
        <v>40</v>
      </c>
      <c r="C262" s="43">
        <v>37513.599999999999</v>
      </c>
      <c r="D262" s="43">
        <f t="shared" si="101"/>
        <v>3126.1333333333332</v>
      </c>
      <c r="E262" s="43">
        <v>2209.9</v>
      </c>
      <c r="F262" s="43">
        <v>2684.5</v>
      </c>
      <c r="G262" s="43">
        <f t="shared" si="102"/>
        <v>8740.6687999999995</v>
      </c>
      <c r="H262" s="44">
        <f t="shared" si="103"/>
        <v>2.6971866101878378E-2</v>
      </c>
      <c r="I262" s="43">
        <v>3830.5</v>
      </c>
      <c r="J262" s="43"/>
      <c r="K262" s="43"/>
      <c r="L262" s="43">
        <f t="shared" si="111"/>
        <v>3830.5</v>
      </c>
      <c r="M262" s="43">
        <v>3715.7</v>
      </c>
      <c r="N262" s="43">
        <f t="shared" si="105"/>
        <v>-114.80000000000018</v>
      </c>
      <c r="O262" s="43">
        <f t="shared" si="106"/>
        <v>97.003002219031458</v>
      </c>
      <c r="P262" s="43">
        <v>9908.3000000000011</v>
      </c>
      <c r="Q262" s="44">
        <f t="shared" si="107"/>
        <v>4.0426150699026664E-2</v>
      </c>
      <c r="R262" s="43">
        <f>6201897*Q262/100+500</f>
        <v>3007.1882274184136</v>
      </c>
      <c r="S262" s="43"/>
      <c r="T262" s="43"/>
      <c r="U262" s="43"/>
      <c r="V262" s="43"/>
      <c r="W262" s="43"/>
      <c r="X262" s="43">
        <f t="shared" si="108"/>
        <v>3007.1882274184136</v>
      </c>
      <c r="Y262" s="43">
        <v>2884.2</v>
      </c>
      <c r="Z262" s="43">
        <f t="shared" si="112"/>
        <v>2884.2</v>
      </c>
      <c r="AA262" s="43"/>
      <c r="AB262" s="43"/>
      <c r="AC262" s="43"/>
      <c r="AD262" s="43">
        <f t="shared" si="109"/>
        <v>2884.2</v>
      </c>
      <c r="AE262" s="43">
        <v>3571.5</v>
      </c>
      <c r="AF262" s="43"/>
      <c r="AG262" s="43"/>
      <c r="AH262" s="42">
        <f t="shared" si="110"/>
        <v>3571.5</v>
      </c>
      <c r="AI262" s="41">
        <v>3571.5</v>
      </c>
      <c r="AJ262" s="40">
        <v>2980</v>
      </c>
      <c r="AK262" s="49">
        <f>4264.1-1300</f>
        <v>2964.1000000000004</v>
      </c>
      <c r="AL262" s="39">
        <f t="shared" si="113"/>
        <v>2964.1000000000004</v>
      </c>
    </row>
    <row r="263" spans="1:38" s="18" customFormat="1" ht="20.399999999999999" x14ac:dyDescent="0.25">
      <c r="A263" s="46">
        <v>75160</v>
      </c>
      <c r="B263" s="45" t="s">
        <v>39</v>
      </c>
      <c r="C263" s="43">
        <v>1600</v>
      </c>
      <c r="D263" s="43">
        <f t="shared" si="101"/>
        <v>133.33333333333334</v>
      </c>
      <c r="E263" s="43"/>
      <c r="F263" s="43"/>
      <c r="G263" s="43">
        <f t="shared" si="102"/>
        <v>372.8</v>
      </c>
      <c r="H263" s="44">
        <f t="shared" si="103"/>
        <v>0</v>
      </c>
      <c r="I263" s="43">
        <f>7990664.7*H263/100</f>
        <v>0</v>
      </c>
      <c r="J263" s="43"/>
      <c r="K263" s="43"/>
      <c r="L263" s="43">
        <f t="shared" si="111"/>
        <v>0</v>
      </c>
      <c r="M263" s="43">
        <v>0</v>
      </c>
      <c r="N263" s="43">
        <f t="shared" si="105"/>
        <v>0</v>
      </c>
      <c r="O263" s="43"/>
      <c r="P263" s="47"/>
      <c r="Q263" s="44">
        <f t="shared" si="107"/>
        <v>0</v>
      </c>
      <c r="R263" s="43">
        <f>6201897*Q263/100</f>
        <v>0</v>
      </c>
      <c r="S263" s="43"/>
      <c r="T263" s="43"/>
      <c r="U263" s="43"/>
      <c r="V263" s="43"/>
      <c r="W263" s="43"/>
      <c r="X263" s="43">
        <f t="shared" si="108"/>
        <v>0</v>
      </c>
      <c r="Y263" s="43"/>
      <c r="Z263" s="43">
        <f t="shared" si="112"/>
        <v>0</v>
      </c>
      <c r="AA263" s="43"/>
      <c r="AB263" s="43"/>
      <c r="AC263" s="43"/>
      <c r="AD263" s="43">
        <f t="shared" si="109"/>
        <v>0</v>
      </c>
      <c r="AE263" s="43"/>
      <c r="AF263" s="43"/>
      <c r="AG263" s="43"/>
      <c r="AH263" s="42">
        <f t="shared" si="110"/>
        <v>0</v>
      </c>
      <c r="AI263" s="41"/>
      <c r="AJ263" s="40">
        <v>0</v>
      </c>
      <c r="AK263" s="49"/>
      <c r="AL263" s="39">
        <f t="shared" si="113"/>
        <v>0</v>
      </c>
    </row>
    <row r="264" spans="1:38" s="18" customFormat="1" ht="14.25" customHeight="1" x14ac:dyDescent="0.25">
      <c r="A264" s="46">
        <v>77110</v>
      </c>
      <c r="B264" s="45" t="s">
        <v>38</v>
      </c>
      <c r="C264" s="43">
        <v>5527.6</v>
      </c>
      <c r="D264" s="43">
        <f t="shared" si="101"/>
        <v>460.63333333333338</v>
      </c>
      <c r="E264" s="43">
        <v>520.5</v>
      </c>
      <c r="F264" s="43">
        <v>448.4</v>
      </c>
      <c r="G264" s="43">
        <f t="shared" si="102"/>
        <v>1287.9308000000001</v>
      </c>
      <c r="H264" s="44">
        <f t="shared" si="103"/>
        <v>5.3393758307678082E-3</v>
      </c>
      <c r="I264" s="43">
        <v>308.5</v>
      </c>
      <c r="J264" s="43"/>
      <c r="K264" s="43"/>
      <c r="L264" s="43">
        <f t="shared" si="111"/>
        <v>308.5</v>
      </c>
      <c r="M264" s="43">
        <v>308.5</v>
      </c>
      <c r="N264" s="43">
        <f t="shared" si="105"/>
        <v>0</v>
      </c>
      <c r="O264" s="43">
        <f t="shared" ref="O264:O277" si="114">M264/L264*100</f>
        <v>100</v>
      </c>
      <c r="P264" s="43">
        <v>1415.9</v>
      </c>
      <c r="Q264" s="44">
        <f t="shared" si="107"/>
        <v>5.7769129694046264E-3</v>
      </c>
      <c r="R264" s="43">
        <f>6201897*Q264/100</f>
        <v>358.27819214211644</v>
      </c>
      <c r="S264" s="43"/>
      <c r="T264" s="43"/>
      <c r="U264" s="43">
        <v>168.4</v>
      </c>
      <c r="V264" s="43"/>
      <c r="W264" s="43"/>
      <c r="X264" s="43">
        <f t="shared" si="108"/>
        <v>526.67819214211647</v>
      </c>
      <c r="Y264" s="43">
        <v>401.83300000000003</v>
      </c>
      <c r="Z264" s="43">
        <f t="shared" si="112"/>
        <v>401.83300000000003</v>
      </c>
      <c r="AA264" s="43"/>
      <c r="AB264" s="43"/>
      <c r="AC264" s="43">
        <v>40.5</v>
      </c>
      <c r="AD264" s="43">
        <f t="shared" si="109"/>
        <v>442.33300000000003</v>
      </c>
      <c r="AE264" s="43">
        <v>440.2</v>
      </c>
      <c r="AF264" s="43"/>
      <c r="AG264" s="43"/>
      <c r="AH264" s="42">
        <f t="shared" si="110"/>
        <v>440.2</v>
      </c>
      <c r="AI264" s="41">
        <f>446.8+312</f>
        <v>758.8</v>
      </c>
      <c r="AJ264" s="40">
        <v>314.5</v>
      </c>
      <c r="AK264" s="49">
        <v>303.39999999999998</v>
      </c>
      <c r="AL264" s="39">
        <f t="shared" si="113"/>
        <v>303.39999999999998</v>
      </c>
    </row>
    <row r="265" spans="1:38" s="18" customFormat="1" ht="15" customHeight="1" x14ac:dyDescent="0.25">
      <c r="A265" s="46">
        <v>79120</v>
      </c>
      <c r="B265" s="45" t="s">
        <v>37</v>
      </c>
      <c r="C265" s="43">
        <v>18459.2</v>
      </c>
      <c r="D265" s="43">
        <f t="shared" si="101"/>
        <v>1538.2666666666667</v>
      </c>
      <c r="E265" s="43"/>
      <c r="F265" s="43">
        <v>117.1</v>
      </c>
      <c r="G265" s="43">
        <f t="shared" si="102"/>
        <v>4300.9936000000007</v>
      </c>
      <c r="H265" s="44">
        <f t="shared" si="103"/>
        <v>6.4531005241295328E-4</v>
      </c>
      <c r="I265" s="43">
        <v>4003.2</v>
      </c>
      <c r="J265" s="43"/>
      <c r="K265" s="43">
        <v>-3648.9</v>
      </c>
      <c r="L265" s="43">
        <f t="shared" si="111"/>
        <v>354.29999999999973</v>
      </c>
      <c r="M265" s="43">
        <v>254.1</v>
      </c>
      <c r="N265" s="43">
        <f t="shared" si="105"/>
        <v>-100.19999999999973</v>
      </c>
      <c r="O265" s="43">
        <f t="shared" si="114"/>
        <v>71.718882303132986</v>
      </c>
      <c r="P265" s="43">
        <v>912.69999999999993</v>
      </c>
      <c r="Q265" s="44">
        <f t="shared" si="107"/>
        <v>3.7238424091924579E-3</v>
      </c>
      <c r="R265" s="43">
        <f>6201897*Q265/100</f>
        <v>230.94887066043478</v>
      </c>
      <c r="S265" s="43"/>
      <c r="T265" s="43"/>
      <c r="U265" s="43"/>
      <c r="V265" s="43"/>
      <c r="W265" s="43"/>
      <c r="X265" s="43">
        <f t="shared" si="108"/>
        <v>230.94887066043478</v>
      </c>
      <c r="Y265" s="43">
        <v>2573.2669999999998</v>
      </c>
      <c r="Z265" s="43">
        <f t="shared" si="112"/>
        <v>2573.2669999999998</v>
      </c>
      <c r="AA265" s="43"/>
      <c r="AB265" s="43"/>
      <c r="AC265" s="43">
        <v>-2330.6</v>
      </c>
      <c r="AD265" s="43">
        <f t="shared" si="109"/>
        <v>242.66699999999992</v>
      </c>
      <c r="AE265" s="43">
        <v>86.1</v>
      </c>
      <c r="AF265" s="43"/>
      <c r="AG265" s="43"/>
      <c r="AH265" s="42">
        <f t="shared" si="110"/>
        <v>86.1</v>
      </c>
      <c r="AI265" s="41">
        <v>420</v>
      </c>
      <c r="AJ265" s="40">
        <v>466.3</v>
      </c>
      <c r="AK265" s="49">
        <f>962.8-500</f>
        <v>462.79999999999995</v>
      </c>
      <c r="AL265" s="39">
        <f t="shared" si="113"/>
        <v>462.79999999999995</v>
      </c>
    </row>
    <row r="266" spans="1:38" s="18" customFormat="1" ht="13.2" x14ac:dyDescent="0.25">
      <c r="A266" s="46">
        <v>80120</v>
      </c>
      <c r="B266" s="45" t="s">
        <v>36</v>
      </c>
      <c r="C266" s="43">
        <v>311649.7</v>
      </c>
      <c r="D266" s="43">
        <f t="shared" si="101"/>
        <v>25970.808333333334</v>
      </c>
      <c r="E266" s="43">
        <v>20547.400000000001</v>
      </c>
      <c r="F266" s="43">
        <v>20021.5</v>
      </c>
      <c r="G266" s="43">
        <f t="shared" si="102"/>
        <v>72614.380100000009</v>
      </c>
      <c r="H266" s="44">
        <f t="shared" si="103"/>
        <v>0.2235654909080774</v>
      </c>
      <c r="I266" s="43">
        <v>33563.1</v>
      </c>
      <c r="J266" s="43"/>
      <c r="K266" s="43"/>
      <c r="L266" s="43">
        <f t="shared" si="111"/>
        <v>33563.1</v>
      </c>
      <c r="M266" s="43">
        <v>28721.200000000001</v>
      </c>
      <c r="N266" s="43">
        <f t="shared" si="105"/>
        <v>-4841.8999999999978</v>
      </c>
      <c r="O266" s="43">
        <f t="shared" si="114"/>
        <v>85.573740208741157</v>
      </c>
      <c r="P266" s="43">
        <v>81330.600000000006</v>
      </c>
      <c r="Q266" s="44">
        <f t="shared" si="107"/>
        <v>0.33183120132033328</v>
      </c>
      <c r="R266" s="43">
        <f>6201897*Q266/100</f>
        <v>20579.829319749711</v>
      </c>
      <c r="S266" s="43">
        <v>1608.1</v>
      </c>
      <c r="T266" s="43"/>
      <c r="U266" s="43"/>
      <c r="V266" s="43"/>
      <c r="W266" s="43"/>
      <c r="X266" s="43">
        <f t="shared" si="108"/>
        <v>22187.92931974971</v>
      </c>
      <c r="Y266" s="43">
        <v>21125.032999999999</v>
      </c>
      <c r="Z266" s="43">
        <f t="shared" si="112"/>
        <v>21125.032999999999</v>
      </c>
      <c r="AA266" s="43"/>
      <c r="AB266" s="43"/>
      <c r="AC266" s="43"/>
      <c r="AD266" s="43">
        <f t="shared" si="109"/>
        <v>21125.032999999999</v>
      </c>
      <c r="AE266" s="43">
        <v>23796.400000000001</v>
      </c>
      <c r="AF266" s="43"/>
      <c r="AG266" s="43"/>
      <c r="AH266" s="42">
        <f t="shared" si="110"/>
        <v>23796.400000000001</v>
      </c>
      <c r="AI266" s="41">
        <f>30142.5+5400</f>
        <v>35542.5</v>
      </c>
      <c r="AJ266" s="40">
        <v>32042.5</v>
      </c>
      <c r="AK266" s="49">
        <f>65653-45000</f>
        <v>20653</v>
      </c>
      <c r="AL266" s="39">
        <f t="shared" si="113"/>
        <v>20653</v>
      </c>
    </row>
    <row r="267" spans="1:38" s="18" customFormat="1" ht="20.399999999999999" x14ac:dyDescent="0.25">
      <c r="A267" s="46">
        <v>81120</v>
      </c>
      <c r="B267" s="45" t="s">
        <v>35</v>
      </c>
      <c r="C267" s="43">
        <v>142567.9</v>
      </c>
      <c r="D267" s="43">
        <f t="shared" si="101"/>
        <v>11880.658333333333</v>
      </c>
      <c r="E267" s="43">
        <v>11528.7</v>
      </c>
      <c r="F267" s="43">
        <v>11060.6</v>
      </c>
      <c r="G267" s="43">
        <f t="shared" si="102"/>
        <v>33218.320699999997</v>
      </c>
      <c r="H267" s="44">
        <f t="shared" si="103"/>
        <v>0.12448422175040073</v>
      </c>
      <c r="I267" s="43">
        <v>12020</v>
      </c>
      <c r="J267" s="43"/>
      <c r="K267" s="43"/>
      <c r="L267" s="43">
        <f t="shared" si="111"/>
        <v>12020</v>
      </c>
      <c r="M267" s="43">
        <v>11771</v>
      </c>
      <c r="N267" s="43">
        <f t="shared" si="105"/>
        <v>-249</v>
      </c>
      <c r="O267" s="43">
        <f t="shared" si="114"/>
        <v>97.928452579034939</v>
      </c>
      <c r="P267" s="43">
        <v>37884.5</v>
      </c>
      <c r="Q267" s="44">
        <f t="shared" si="107"/>
        <v>0.15456985619705454</v>
      </c>
      <c r="R267" s="43">
        <f>6201897*Q267/100+2000</f>
        <v>11586.263274389441</v>
      </c>
      <c r="S267" s="43"/>
      <c r="T267" s="43"/>
      <c r="U267" s="43"/>
      <c r="V267" s="43"/>
      <c r="W267" s="43"/>
      <c r="X267" s="43">
        <f t="shared" si="108"/>
        <v>11586.263274389441</v>
      </c>
      <c r="Y267" s="43">
        <v>12310.73</v>
      </c>
      <c r="Z267" s="43">
        <f t="shared" si="112"/>
        <v>12310.73</v>
      </c>
      <c r="AA267" s="43"/>
      <c r="AB267" s="43"/>
      <c r="AC267" s="43"/>
      <c r="AD267" s="43">
        <f t="shared" si="109"/>
        <v>12310.73</v>
      </c>
      <c r="AE267" s="43">
        <v>11566.4</v>
      </c>
      <c r="AF267" s="43"/>
      <c r="AG267" s="43"/>
      <c r="AH267" s="42">
        <f t="shared" si="110"/>
        <v>11566.4</v>
      </c>
      <c r="AI267" s="41">
        <v>11567</v>
      </c>
      <c r="AJ267" s="40">
        <v>13778.8</v>
      </c>
      <c r="AK267" s="49">
        <v>10690.1</v>
      </c>
      <c r="AL267" s="39">
        <f t="shared" si="113"/>
        <v>10690.1</v>
      </c>
    </row>
    <row r="268" spans="1:38" s="18" customFormat="1" ht="36" customHeight="1" x14ac:dyDescent="0.25">
      <c r="A268" s="46">
        <v>82110</v>
      </c>
      <c r="B268" s="45" t="s">
        <v>34</v>
      </c>
      <c r="C268" s="43">
        <v>11305.5</v>
      </c>
      <c r="D268" s="43">
        <f t="shared" si="101"/>
        <v>942.125</v>
      </c>
      <c r="E268" s="43">
        <v>990</v>
      </c>
      <c r="F268" s="43">
        <v>741</v>
      </c>
      <c r="G268" s="43">
        <f t="shared" si="102"/>
        <v>2634.1815000000001</v>
      </c>
      <c r="H268" s="44">
        <f t="shared" si="103"/>
        <v>9.5391263939096672E-3</v>
      </c>
      <c r="I268" s="43">
        <f>7990664.7*H268/100+100</f>
        <v>862.23960544652277</v>
      </c>
      <c r="J268" s="43"/>
      <c r="K268" s="43"/>
      <c r="L268" s="43">
        <f t="shared" si="111"/>
        <v>862.23960544652277</v>
      </c>
      <c r="M268" s="43">
        <v>862.2</v>
      </c>
      <c r="N268" s="43">
        <f t="shared" si="105"/>
        <v>-3.9605446522728016E-2</v>
      </c>
      <c r="O268" s="43">
        <f t="shared" si="114"/>
        <v>99.995406677416284</v>
      </c>
      <c r="P268" s="43">
        <v>3038.7000000000003</v>
      </c>
      <c r="Q268" s="44">
        <f t="shared" si="107"/>
        <v>1.2397983925510161E-2</v>
      </c>
      <c r="R268" s="43">
        <f>6201897*Q268/100</f>
        <v>768.91019313669688</v>
      </c>
      <c r="S268" s="43"/>
      <c r="T268" s="43"/>
      <c r="U268" s="43"/>
      <c r="V268" s="43"/>
      <c r="W268" s="43"/>
      <c r="X268" s="43">
        <f t="shared" si="108"/>
        <v>768.91019313669688</v>
      </c>
      <c r="Y268" s="43">
        <v>769.87</v>
      </c>
      <c r="Z268" s="43">
        <f t="shared" si="112"/>
        <v>769.87</v>
      </c>
      <c r="AA268" s="43">
        <f>1085-Z268</f>
        <v>315.13</v>
      </c>
      <c r="AB268" s="43"/>
      <c r="AC268" s="43"/>
      <c r="AD268" s="43">
        <f t="shared" si="109"/>
        <v>1085</v>
      </c>
      <c r="AE268" s="43">
        <v>983.9</v>
      </c>
      <c r="AF268" s="43">
        <v>123.2</v>
      </c>
      <c r="AG268" s="43"/>
      <c r="AH268" s="42">
        <f t="shared" si="110"/>
        <v>1107.0999999999999</v>
      </c>
      <c r="AI268" s="41">
        <v>1094</v>
      </c>
      <c r="AJ268" s="40">
        <v>1110</v>
      </c>
      <c r="AK268" s="49">
        <f>1491.3-500</f>
        <v>991.3</v>
      </c>
      <c r="AL268" s="39">
        <f t="shared" si="113"/>
        <v>991.3</v>
      </c>
    </row>
    <row r="269" spans="1:38" s="18" customFormat="1" ht="20.399999999999999" x14ac:dyDescent="0.25">
      <c r="A269" s="46">
        <v>83120</v>
      </c>
      <c r="B269" s="45" t="s">
        <v>33</v>
      </c>
      <c r="C269" s="43">
        <v>20674.599999999999</v>
      </c>
      <c r="D269" s="43">
        <f t="shared" si="101"/>
        <v>1722.8833333333332</v>
      </c>
      <c r="E269" s="43">
        <v>695.4</v>
      </c>
      <c r="F269" s="43">
        <v>601.5</v>
      </c>
      <c r="G269" s="43">
        <f t="shared" si="102"/>
        <v>4817.1818000000003</v>
      </c>
      <c r="H269" s="44">
        <f t="shared" si="103"/>
        <v>7.1469052687818885E-3</v>
      </c>
      <c r="I269" s="43">
        <v>1707.2</v>
      </c>
      <c r="J269" s="43"/>
      <c r="K269" s="43"/>
      <c r="L269" s="43">
        <f t="shared" si="111"/>
        <v>1707.2</v>
      </c>
      <c r="M269" s="43">
        <v>807.4</v>
      </c>
      <c r="N269" s="43">
        <f t="shared" si="105"/>
        <v>-899.80000000000007</v>
      </c>
      <c r="O269" s="43">
        <f t="shared" si="114"/>
        <v>47.293814432989691</v>
      </c>
      <c r="P269" s="43">
        <v>6109</v>
      </c>
      <c r="Q269" s="44">
        <f t="shared" si="107"/>
        <v>2.4924896765373863E-2</v>
      </c>
      <c r="R269" s="43">
        <f>6201897*Q269/100</f>
        <v>1545.8164247448187</v>
      </c>
      <c r="S269" s="43"/>
      <c r="T269" s="43"/>
      <c r="U269" s="43"/>
      <c r="V269" s="43"/>
      <c r="W269" s="43"/>
      <c r="X269" s="43">
        <f t="shared" si="108"/>
        <v>1545.8164247448187</v>
      </c>
      <c r="Y269" s="43">
        <v>495.3</v>
      </c>
      <c r="Z269" s="43">
        <f t="shared" si="112"/>
        <v>495.3</v>
      </c>
      <c r="AA269" s="43"/>
      <c r="AB269" s="43">
        <v>400</v>
      </c>
      <c r="AC269" s="43"/>
      <c r="AD269" s="43">
        <f t="shared" si="109"/>
        <v>895.3</v>
      </c>
      <c r="AE269" s="43">
        <v>685.7</v>
      </c>
      <c r="AF269" s="43"/>
      <c r="AG269" s="43"/>
      <c r="AH269" s="42">
        <f t="shared" si="110"/>
        <v>685.7</v>
      </c>
      <c r="AI269" s="41">
        <f>685.7+30</f>
        <v>715.7</v>
      </c>
      <c r="AJ269" s="40">
        <v>1340</v>
      </c>
      <c r="AK269" s="49">
        <f>2800-1500-500</f>
        <v>800</v>
      </c>
      <c r="AL269" s="39">
        <f t="shared" si="113"/>
        <v>800</v>
      </c>
    </row>
    <row r="270" spans="1:38" s="18" customFormat="1" ht="13.2" x14ac:dyDescent="0.25">
      <c r="A270" s="46">
        <v>84120</v>
      </c>
      <c r="B270" s="45" t="s">
        <v>32</v>
      </c>
      <c r="C270" s="43">
        <v>481.2</v>
      </c>
      <c r="D270" s="43">
        <f t="shared" si="101"/>
        <v>40.1</v>
      </c>
      <c r="E270" s="43"/>
      <c r="F270" s="43"/>
      <c r="G270" s="43">
        <f t="shared" si="102"/>
        <v>112.11960000000001</v>
      </c>
      <c r="H270" s="44">
        <f t="shared" si="103"/>
        <v>0</v>
      </c>
      <c r="I270" s="43">
        <f>7990664.7*H270/100+40.1</f>
        <v>40.1</v>
      </c>
      <c r="J270" s="43"/>
      <c r="K270" s="43"/>
      <c r="L270" s="43">
        <f t="shared" si="111"/>
        <v>40.1</v>
      </c>
      <c r="M270" s="43">
        <v>0</v>
      </c>
      <c r="N270" s="43">
        <f t="shared" si="105"/>
        <v>-40.1</v>
      </c>
      <c r="O270" s="43">
        <f t="shared" si="114"/>
        <v>0</v>
      </c>
      <c r="P270" s="43">
        <v>144.80000000000001</v>
      </c>
      <c r="Q270" s="44">
        <f t="shared" si="107"/>
        <v>5.9078818982257917E-4</v>
      </c>
      <c r="R270" s="43">
        <f>6201897*Q270/100</f>
        <v>36.640075020960843</v>
      </c>
      <c r="S270" s="43"/>
      <c r="T270" s="43"/>
      <c r="U270" s="43"/>
      <c r="V270" s="43"/>
      <c r="W270" s="43"/>
      <c r="X270" s="43">
        <f t="shared" si="108"/>
        <v>36.640075020960843</v>
      </c>
      <c r="Y270" s="43"/>
      <c r="Z270" s="43">
        <v>189.1</v>
      </c>
      <c r="AA270" s="43"/>
      <c r="AB270" s="43"/>
      <c r="AC270" s="43"/>
      <c r="AD270" s="43">
        <f t="shared" si="109"/>
        <v>189.1</v>
      </c>
      <c r="AE270" s="43"/>
      <c r="AF270" s="43"/>
      <c r="AG270" s="43"/>
      <c r="AH270" s="42">
        <f t="shared" si="110"/>
        <v>0</v>
      </c>
      <c r="AI270" s="41">
        <v>51.1</v>
      </c>
      <c r="AJ270" s="40">
        <v>60.1</v>
      </c>
      <c r="AK270" s="49">
        <v>60.1</v>
      </c>
      <c r="AL270" s="39">
        <f t="shared" si="113"/>
        <v>60.1</v>
      </c>
    </row>
    <row r="271" spans="1:38" s="18" customFormat="1" ht="12" customHeight="1" x14ac:dyDescent="0.25">
      <c r="A271" s="46">
        <v>85121</v>
      </c>
      <c r="B271" s="45" t="s">
        <v>31</v>
      </c>
      <c r="C271" s="43">
        <v>434397.9</v>
      </c>
      <c r="D271" s="43">
        <f t="shared" si="101"/>
        <v>36199.825000000004</v>
      </c>
      <c r="E271" s="43">
        <v>35090.1</v>
      </c>
      <c r="F271" s="43">
        <v>29084</v>
      </c>
      <c r="G271" s="43">
        <f t="shared" si="102"/>
        <v>101214.7107</v>
      </c>
      <c r="H271" s="44">
        <f t="shared" si="103"/>
        <v>0.35364809423188814</v>
      </c>
      <c r="I271" s="43">
        <v>25014.6</v>
      </c>
      <c r="J271" s="43"/>
      <c r="K271" s="43"/>
      <c r="L271" s="43">
        <f t="shared" si="111"/>
        <v>25014.6</v>
      </c>
      <c r="M271" s="43">
        <v>25014.6</v>
      </c>
      <c r="N271" s="43">
        <f t="shared" si="105"/>
        <v>0</v>
      </c>
      <c r="O271" s="43">
        <f t="shared" si="114"/>
        <v>100</v>
      </c>
      <c r="P271" s="43">
        <v>115137.40000000001</v>
      </c>
      <c r="Q271" s="44">
        <f t="shared" si="107"/>
        <v>0.4697639235281646</v>
      </c>
      <c r="R271" s="43">
        <f>6201897*Q271/100</f>
        <v>29134.274680375536</v>
      </c>
      <c r="S271" s="43"/>
      <c r="T271" s="43"/>
      <c r="U271" s="43"/>
      <c r="V271" s="43"/>
      <c r="W271" s="43"/>
      <c r="X271" s="43">
        <f t="shared" si="108"/>
        <v>29134.274680375536</v>
      </c>
      <c r="Y271" s="43">
        <v>36748.36</v>
      </c>
      <c r="Z271" s="43">
        <f t="shared" ref="Z271:Z276" si="115">Y271</f>
        <v>36748.36</v>
      </c>
      <c r="AA271" s="43"/>
      <c r="AB271" s="43"/>
      <c r="AC271" s="43"/>
      <c r="AD271" s="43">
        <f t="shared" si="109"/>
        <v>36748.36</v>
      </c>
      <c r="AE271" s="43">
        <f>47370.6-10000</f>
        <v>37370.6</v>
      </c>
      <c r="AF271" s="43"/>
      <c r="AG271" s="43"/>
      <c r="AH271" s="42">
        <f t="shared" si="110"/>
        <v>37370.6</v>
      </c>
      <c r="AI271" s="41">
        <f>3337.1+32701.9</f>
        <v>36039</v>
      </c>
      <c r="AJ271" s="40">
        <v>37039</v>
      </c>
      <c r="AK271" s="49">
        <f>63685.1-30000</f>
        <v>33685.1</v>
      </c>
      <c r="AL271" s="39">
        <f t="shared" si="113"/>
        <v>33685.1</v>
      </c>
    </row>
    <row r="272" spans="1:38" s="18" customFormat="1" ht="20.399999999999999" x14ac:dyDescent="0.25">
      <c r="A272" s="46">
        <v>85221</v>
      </c>
      <c r="B272" s="45" t="s">
        <v>30</v>
      </c>
      <c r="C272" s="43">
        <v>37490.9</v>
      </c>
      <c r="D272" s="43">
        <f t="shared" si="101"/>
        <v>3124.2416666666668</v>
      </c>
      <c r="E272" s="43">
        <v>2913.1</v>
      </c>
      <c r="F272" s="43">
        <v>2843.2</v>
      </c>
      <c r="G272" s="43">
        <f t="shared" si="102"/>
        <v>8735.3797000000013</v>
      </c>
      <c r="H272" s="44">
        <f t="shared" si="103"/>
        <v>3.1721590561098911E-2</v>
      </c>
      <c r="I272" s="43">
        <v>2758.5</v>
      </c>
      <c r="J272" s="43"/>
      <c r="K272" s="43"/>
      <c r="L272" s="43">
        <f t="shared" si="111"/>
        <v>2758.5</v>
      </c>
      <c r="M272" s="43">
        <v>2758.5</v>
      </c>
      <c r="N272" s="43">
        <f t="shared" si="105"/>
        <v>0</v>
      </c>
      <c r="O272" s="43">
        <f t="shared" si="114"/>
        <v>100</v>
      </c>
      <c r="P272" s="43">
        <v>8846.9000000000015</v>
      </c>
      <c r="Q272" s="44">
        <f t="shared" si="107"/>
        <v>3.6095607987164199E-2</v>
      </c>
      <c r="R272" s="43">
        <f>6201897*Q272/100+300</f>
        <v>2538.6124288876968</v>
      </c>
      <c r="S272" s="43"/>
      <c r="T272" s="43"/>
      <c r="U272" s="43"/>
      <c r="V272" s="43"/>
      <c r="W272" s="43"/>
      <c r="X272" s="43">
        <f t="shared" si="108"/>
        <v>2538.6124288876968</v>
      </c>
      <c r="Y272" s="43">
        <v>1383.57</v>
      </c>
      <c r="Z272" s="43">
        <f t="shared" si="115"/>
        <v>1383.57</v>
      </c>
      <c r="AA272" s="43"/>
      <c r="AB272" s="43"/>
      <c r="AC272" s="43"/>
      <c r="AD272" s="43">
        <f t="shared" si="109"/>
        <v>1383.57</v>
      </c>
      <c r="AE272" s="43">
        <f>4491.4-1500</f>
        <v>2991.3999999999996</v>
      </c>
      <c r="AF272" s="43"/>
      <c r="AG272" s="43"/>
      <c r="AH272" s="42">
        <f t="shared" si="110"/>
        <v>2991.3999999999996</v>
      </c>
      <c r="AI272" s="41">
        <v>3083.9</v>
      </c>
      <c r="AJ272" s="40">
        <v>3028.7</v>
      </c>
      <c r="AK272" s="49">
        <f>5645.5-2000-1000</f>
        <v>2645.5</v>
      </c>
      <c r="AL272" s="39">
        <f t="shared" si="113"/>
        <v>2645.5</v>
      </c>
    </row>
    <row r="273" spans="1:38" s="18" customFormat="1" ht="20.399999999999999" x14ac:dyDescent="0.25">
      <c r="A273" s="46">
        <v>85321</v>
      </c>
      <c r="B273" s="45" t="s">
        <v>29</v>
      </c>
      <c r="C273" s="43">
        <v>81332.7</v>
      </c>
      <c r="D273" s="43">
        <f t="shared" si="101"/>
        <v>6777.7249999999995</v>
      </c>
      <c r="E273" s="43">
        <v>6519.4</v>
      </c>
      <c r="F273" s="43">
        <v>4220</v>
      </c>
      <c r="G273" s="43">
        <f t="shared" si="102"/>
        <v>18950.519099999998</v>
      </c>
      <c r="H273" s="44">
        <f t="shared" si="103"/>
        <v>5.9182261117708537E-2</v>
      </c>
      <c r="I273" s="43">
        <v>7059.2</v>
      </c>
      <c r="J273" s="43"/>
      <c r="K273" s="43"/>
      <c r="L273" s="43">
        <f t="shared" si="111"/>
        <v>7059.2</v>
      </c>
      <c r="M273" s="43">
        <v>5250.5</v>
      </c>
      <c r="N273" s="43">
        <f t="shared" si="105"/>
        <v>-1808.6999999999998</v>
      </c>
      <c r="O273" s="43">
        <f t="shared" si="114"/>
        <v>74.378116500453302</v>
      </c>
      <c r="P273" s="43">
        <v>21198.200000000004</v>
      </c>
      <c r="Q273" s="44">
        <f t="shared" si="107"/>
        <v>8.6489269374979277E-2</v>
      </c>
      <c r="R273" s="43">
        <f>6201897*Q273/100</f>
        <v>5363.9754026887585</v>
      </c>
      <c r="S273" s="43"/>
      <c r="T273" s="43"/>
      <c r="U273" s="43"/>
      <c r="V273" s="43"/>
      <c r="W273" s="43"/>
      <c r="X273" s="43">
        <f t="shared" si="108"/>
        <v>5363.9754026887585</v>
      </c>
      <c r="Y273" s="43">
        <v>6809.43</v>
      </c>
      <c r="Z273" s="43">
        <f t="shared" si="115"/>
        <v>6809.43</v>
      </c>
      <c r="AA273" s="43"/>
      <c r="AB273" s="43"/>
      <c r="AC273" s="43"/>
      <c r="AD273" s="43">
        <f t="shared" si="109"/>
        <v>6809.43</v>
      </c>
      <c r="AE273" s="43">
        <v>6183.4</v>
      </c>
      <c r="AF273" s="43"/>
      <c r="AG273" s="43"/>
      <c r="AH273" s="42">
        <f t="shared" si="110"/>
        <v>6183.4</v>
      </c>
      <c r="AI273" s="41">
        <v>5990.3</v>
      </c>
      <c r="AJ273" s="40">
        <v>8917.2000000000007</v>
      </c>
      <c r="AK273" s="49">
        <f>5870.2-1000</f>
        <v>4870.2</v>
      </c>
      <c r="AL273" s="39">
        <f t="shared" si="113"/>
        <v>4870.2</v>
      </c>
    </row>
    <row r="274" spans="1:38" s="18" customFormat="1" ht="13.2" x14ac:dyDescent="0.25">
      <c r="A274" s="46">
        <v>86120</v>
      </c>
      <c r="B274" s="45" t="s">
        <v>28</v>
      </c>
      <c r="C274" s="43">
        <v>10300</v>
      </c>
      <c r="D274" s="43">
        <f t="shared" si="101"/>
        <v>858.33333333333337</v>
      </c>
      <c r="E274" s="43">
        <v>496.3</v>
      </c>
      <c r="F274" s="43">
        <v>1658.1</v>
      </c>
      <c r="G274" s="43">
        <f t="shared" si="102"/>
        <v>2399.9</v>
      </c>
      <c r="H274" s="44">
        <f t="shared" si="103"/>
        <v>1.1872382381882721E-2</v>
      </c>
      <c r="I274" s="43">
        <v>3661.6</v>
      </c>
      <c r="J274" s="43"/>
      <c r="K274" s="43"/>
      <c r="L274" s="43">
        <f t="shared" si="111"/>
        <v>3661.6</v>
      </c>
      <c r="M274" s="43">
        <v>3626.99</v>
      </c>
      <c r="N274" s="43">
        <f t="shared" si="105"/>
        <v>-34.610000000000127</v>
      </c>
      <c r="O274" s="43">
        <f t="shared" si="114"/>
        <v>99.054784793532875</v>
      </c>
      <c r="P274" s="43">
        <v>4484</v>
      </c>
      <c r="Q274" s="44">
        <f t="shared" si="107"/>
        <v>1.8294849745610808E-2</v>
      </c>
      <c r="R274" s="43">
        <f>6201897*Q274/100+400</f>
        <v>1534.6277375275445</v>
      </c>
      <c r="S274" s="43"/>
      <c r="T274" s="43"/>
      <c r="U274" s="43"/>
      <c r="V274" s="43"/>
      <c r="W274" s="43"/>
      <c r="X274" s="43">
        <f t="shared" si="108"/>
        <v>1534.6277375275445</v>
      </c>
      <c r="Y274" s="43">
        <v>1081.33</v>
      </c>
      <c r="Z274" s="43">
        <f t="shared" si="115"/>
        <v>1081.33</v>
      </c>
      <c r="AA274" s="43"/>
      <c r="AB274" s="43"/>
      <c r="AC274" s="43"/>
      <c r="AD274" s="43">
        <f t="shared" si="109"/>
        <v>1081.33</v>
      </c>
      <c r="AE274" s="43">
        <f>3689.7-2000</f>
        <v>1689.6999999999998</v>
      </c>
      <c r="AF274" s="43"/>
      <c r="AG274" s="43"/>
      <c r="AH274" s="42">
        <f t="shared" si="110"/>
        <v>1689.6999999999998</v>
      </c>
      <c r="AI274" s="41">
        <v>860.3</v>
      </c>
      <c r="AJ274" s="40">
        <v>1191.5</v>
      </c>
      <c r="AK274" s="49"/>
      <c r="AL274" s="39">
        <f t="shared" si="113"/>
        <v>0</v>
      </c>
    </row>
    <row r="275" spans="1:38" s="18" customFormat="1" ht="20.399999999999999" x14ac:dyDescent="0.25">
      <c r="A275" s="46">
        <v>87120</v>
      </c>
      <c r="B275" s="45" t="s">
        <v>27</v>
      </c>
      <c r="C275" s="43"/>
      <c r="D275" s="43"/>
      <c r="E275" s="43"/>
      <c r="F275" s="43"/>
      <c r="G275" s="43"/>
      <c r="H275" s="44"/>
      <c r="I275" s="43"/>
      <c r="J275" s="43"/>
      <c r="K275" s="43"/>
      <c r="L275" s="43">
        <v>4571.7</v>
      </c>
      <c r="M275" s="43">
        <v>4571.7</v>
      </c>
      <c r="N275" s="43">
        <f t="shared" si="105"/>
        <v>0</v>
      </c>
      <c r="O275" s="43">
        <f t="shared" si="114"/>
        <v>100</v>
      </c>
      <c r="P275" s="43">
        <v>3290.8</v>
      </c>
      <c r="Q275" s="44">
        <f t="shared" si="107"/>
        <v>1.3426559220083864E-2</v>
      </c>
      <c r="R275" s="43">
        <f>6201897*Q275/100</f>
        <v>832.70137347360446</v>
      </c>
      <c r="S275" s="43"/>
      <c r="T275" s="43">
        <v>1500</v>
      </c>
      <c r="U275" s="43"/>
      <c r="V275" s="43"/>
      <c r="W275" s="43"/>
      <c r="X275" s="43">
        <f t="shared" si="108"/>
        <v>2332.7013734736047</v>
      </c>
      <c r="Y275" s="43">
        <v>880.2</v>
      </c>
      <c r="Z275" s="43">
        <f t="shared" si="115"/>
        <v>880.2</v>
      </c>
      <c r="AA275" s="43"/>
      <c r="AB275" s="43"/>
      <c r="AC275" s="43">
        <v>2650</v>
      </c>
      <c r="AD275" s="43">
        <f t="shared" si="109"/>
        <v>3530.2</v>
      </c>
      <c r="AE275" s="43">
        <v>1362.8</v>
      </c>
      <c r="AF275" s="43"/>
      <c r="AG275" s="43"/>
      <c r="AH275" s="42">
        <f t="shared" si="110"/>
        <v>1362.8</v>
      </c>
      <c r="AI275" s="41">
        <f>2001.3+3748.1+537.1</f>
        <v>6286.5</v>
      </c>
      <c r="AJ275" s="40">
        <v>11825.300000000001</v>
      </c>
      <c r="AK275" s="49">
        <f>9762.3-7000</f>
        <v>2762.2999999999993</v>
      </c>
      <c r="AL275" s="39">
        <f t="shared" si="113"/>
        <v>2762.2999999999993</v>
      </c>
    </row>
    <row r="276" spans="1:38" s="18" customFormat="1" ht="13.2" x14ac:dyDescent="0.25">
      <c r="A276" s="46">
        <v>88121</v>
      </c>
      <c r="B276" s="45" t="s">
        <v>26</v>
      </c>
      <c r="C276" s="43">
        <v>17046399</v>
      </c>
      <c r="D276" s="43">
        <f>C276/12</f>
        <v>1420533.25</v>
      </c>
      <c r="E276" s="43">
        <v>1420533.3</v>
      </c>
      <c r="F276" s="43">
        <v>1420533.3</v>
      </c>
      <c r="G276" s="43">
        <f>C276*23.3/100</f>
        <v>3971810.9669999997</v>
      </c>
      <c r="H276" s="44">
        <f>(E276+F276)/(8725103.2+9421212.6)*100</f>
        <v>15.65643754530052</v>
      </c>
      <c r="I276" s="43">
        <v>1471672.4</v>
      </c>
      <c r="J276" s="43"/>
      <c r="K276" s="43"/>
      <c r="L276" s="43">
        <f>SUM(I276:K276)</f>
        <v>1471672.4</v>
      </c>
      <c r="M276" s="43">
        <v>1471672.4</v>
      </c>
      <c r="N276" s="43">
        <f t="shared" si="105"/>
        <v>0</v>
      </c>
      <c r="O276" s="43">
        <f t="shared" si="114"/>
        <v>100</v>
      </c>
      <c r="P276" s="43">
        <v>4312738.9000000004</v>
      </c>
      <c r="Q276" s="44"/>
      <c r="R276" s="43">
        <f>P276/3</f>
        <v>1437579.6333333335</v>
      </c>
      <c r="S276" s="43"/>
      <c r="T276" s="43"/>
      <c r="U276" s="43"/>
      <c r="V276" s="43"/>
      <c r="W276" s="43"/>
      <c r="X276" s="43">
        <f t="shared" si="108"/>
        <v>1437579.6333333335</v>
      </c>
      <c r="Y276" s="43">
        <v>1437579.63</v>
      </c>
      <c r="Z276" s="43">
        <f t="shared" si="115"/>
        <v>1437579.63</v>
      </c>
      <c r="AA276" s="43"/>
      <c r="AB276" s="43"/>
      <c r="AC276" s="43"/>
      <c r="AD276" s="43">
        <f t="shared" si="109"/>
        <v>1437579.63</v>
      </c>
      <c r="AE276" s="43">
        <v>1045801.3</v>
      </c>
      <c r="AF276" s="43"/>
      <c r="AG276" s="43"/>
      <c r="AH276" s="42">
        <f t="shared" si="110"/>
        <v>1045801.3</v>
      </c>
      <c r="AI276" s="41">
        <v>1420579.6</v>
      </c>
      <c r="AJ276" s="40">
        <v>1437333</v>
      </c>
      <c r="AK276" s="49">
        <v>1454826.3</v>
      </c>
      <c r="AL276" s="39">
        <f t="shared" si="113"/>
        <v>1454826.3</v>
      </c>
    </row>
    <row r="277" spans="1:38" s="18" customFormat="1" ht="13.2" x14ac:dyDescent="0.25">
      <c r="A277" s="38"/>
      <c r="B277" s="37" t="s">
        <v>25</v>
      </c>
      <c r="C277" s="35">
        <f>SUM(C62:C276)-C111</f>
        <v>125767448.50000003</v>
      </c>
      <c r="D277" s="35">
        <f>SUM(D62:D276)-D111</f>
        <v>10480620.70833333</v>
      </c>
      <c r="E277" s="35">
        <f>SUM(E62:E276)-E111</f>
        <v>8725103.2000000011</v>
      </c>
      <c r="F277" s="35">
        <f>SUM(F62:F276)-F111</f>
        <v>9421212.5999999978</v>
      </c>
      <c r="G277" s="35">
        <f>SUM(G62:G276)</f>
        <v>29303815.500500005</v>
      </c>
      <c r="H277" s="36">
        <f>SUM(H62:H276)</f>
        <v>100.00004131999997</v>
      </c>
      <c r="I277" s="35">
        <f>SUM(I62:I276)</f>
        <v>10452065.308823457</v>
      </c>
      <c r="J277" s="35">
        <f>SUM(J62:J276)</f>
        <v>1484780.3819590027</v>
      </c>
      <c r="K277" s="35">
        <f>SUM(K62:K276)</f>
        <v>109617.7</v>
      </c>
      <c r="L277" s="35">
        <f>SUM(L62:L276)-L111</f>
        <v>12059580.190782463</v>
      </c>
      <c r="M277" s="35">
        <f>SUM(M62:M276)</f>
        <v>11495272.538999995</v>
      </c>
      <c r="N277" s="35">
        <f>SUM(N62:N276)</f>
        <v>-564307.65178247145</v>
      </c>
      <c r="O277" s="35">
        <f t="shared" si="114"/>
        <v>95.320669187027036</v>
      </c>
      <c r="P277" s="35">
        <f t="shared" ref="P277:AL277" si="116">SUM(P62:P276)</f>
        <v>34036112.225000009</v>
      </c>
      <c r="Q277" s="36">
        <f t="shared" si="116"/>
        <v>100.00000010200066</v>
      </c>
      <c r="R277" s="35">
        <f t="shared" si="116"/>
        <v>9874674.7396593112</v>
      </c>
      <c r="S277" s="35">
        <f t="shared" si="116"/>
        <v>1358177.2736486478</v>
      </c>
      <c r="T277" s="35">
        <f t="shared" si="116"/>
        <v>511671.09529519541</v>
      </c>
      <c r="U277" s="35">
        <f t="shared" si="116"/>
        <v>1337216.6047048045</v>
      </c>
      <c r="V277" s="35">
        <f t="shared" si="116"/>
        <v>95223</v>
      </c>
      <c r="W277" s="35">
        <f t="shared" si="116"/>
        <v>8914.4</v>
      </c>
      <c r="X277" s="35">
        <f t="shared" si="116"/>
        <v>13185877.113307962</v>
      </c>
      <c r="Y277" s="35">
        <f t="shared" si="116"/>
        <v>7536470.3219999988</v>
      </c>
      <c r="Z277" s="35">
        <f t="shared" si="116"/>
        <v>9336831.6636666656</v>
      </c>
      <c r="AA277" s="35">
        <f t="shared" si="116"/>
        <v>592423.29700000014</v>
      </c>
      <c r="AB277" s="35">
        <f t="shared" si="116"/>
        <v>381888.9</v>
      </c>
      <c r="AC277" s="35">
        <f t="shared" si="116"/>
        <v>814799.3</v>
      </c>
      <c r="AD277" s="35">
        <f t="shared" si="116"/>
        <v>11125943.160666659</v>
      </c>
      <c r="AE277" s="35">
        <f t="shared" si="116"/>
        <v>9531148.9340000041</v>
      </c>
      <c r="AF277" s="35">
        <f t="shared" si="116"/>
        <v>1426221.9310000001</v>
      </c>
      <c r="AG277" s="35">
        <f t="shared" si="116"/>
        <v>459156</v>
      </c>
      <c r="AH277" s="35">
        <f t="shared" si="116"/>
        <v>11416526.864999996</v>
      </c>
      <c r="AI277" s="34">
        <f t="shared" si="116"/>
        <v>10495360.800000003</v>
      </c>
      <c r="AJ277" s="33">
        <f t="shared" si="116"/>
        <v>12409964.599999992</v>
      </c>
      <c r="AK277" s="33">
        <f t="shared" si="116"/>
        <v>9672621.7333187256</v>
      </c>
      <c r="AL277" s="32">
        <f t="shared" si="116"/>
        <v>9672621.7333187256</v>
      </c>
    </row>
    <row r="278" spans="1:38" s="18" customFormat="1" ht="13.2" x14ac:dyDescent="0.25">
      <c r="A278" s="6"/>
      <c r="B278" s="7"/>
      <c r="C278" s="6"/>
      <c r="D278" s="6"/>
      <c r="E278" s="3"/>
      <c r="F278" s="3"/>
      <c r="G278" s="3"/>
      <c r="H278" s="3"/>
      <c r="I278" s="30" t="e">
        <f>#REF!-I277</f>
        <v>#REF!</v>
      </c>
      <c r="J278" s="3"/>
      <c r="K278" s="3"/>
      <c r="L278" s="3"/>
      <c r="M278" s="3"/>
      <c r="N278" s="3"/>
      <c r="O278" s="31" t="s">
        <v>24</v>
      </c>
      <c r="P278" s="30">
        <f>P277-P276-P111</f>
        <v>24509630.125000011</v>
      </c>
      <c r="Q278" s="29"/>
      <c r="R278" s="28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5"/>
      <c r="AD278" s="3"/>
      <c r="AE278" s="3"/>
      <c r="AF278" s="3"/>
      <c r="AG278" s="3"/>
      <c r="AH278" s="3"/>
      <c r="AI278" s="3"/>
      <c r="AJ278" s="4"/>
      <c r="AK278" s="4"/>
      <c r="AL278" s="24">
        <f>SUM(AL62:AL276)</f>
        <v>9672621.7333187256</v>
      </c>
    </row>
    <row r="279" spans="1:38" s="18" customFormat="1" ht="13.2" hidden="1" x14ac:dyDescent="0.25">
      <c r="A279" s="6"/>
      <c r="B279" s="7"/>
      <c r="C279" s="6"/>
      <c r="D279" s="6"/>
      <c r="E279" s="3"/>
      <c r="F279" s="3"/>
      <c r="G279" s="3"/>
      <c r="H279" s="3"/>
      <c r="I279" s="30"/>
      <c r="J279" s="3"/>
      <c r="K279" s="3"/>
      <c r="L279" s="3"/>
      <c r="M279" s="3"/>
      <c r="N279" s="3"/>
      <c r="O279" s="31"/>
      <c r="P279" s="30"/>
      <c r="Q279" s="29"/>
      <c r="R279" s="28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5"/>
      <c r="AD279" s="3"/>
      <c r="AE279" s="3"/>
      <c r="AF279" s="3"/>
      <c r="AG279" s="3"/>
      <c r="AH279" s="3"/>
      <c r="AI279" s="4"/>
      <c r="AJ279" s="4"/>
      <c r="AK279" s="4"/>
      <c r="AL279" s="19"/>
    </row>
    <row r="280" spans="1:38" s="18" customFormat="1" ht="13.2" x14ac:dyDescent="0.25">
      <c r="A280" s="6"/>
      <c r="B280" s="7"/>
      <c r="C280" s="6"/>
      <c r="D280" s="6"/>
      <c r="E280" s="3"/>
      <c r="F280" s="3"/>
      <c r="G280" s="3"/>
      <c r="H280" s="3"/>
      <c r="I280" s="30"/>
      <c r="J280" s="3"/>
      <c r="K280" s="3"/>
      <c r="L280" s="3"/>
      <c r="M280" s="3"/>
      <c r="N280" s="3"/>
      <c r="O280" s="31"/>
      <c r="P280" s="30"/>
      <c r="Q280" s="29"/>
      <c r="R280" s="28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5"/>
      <c r="AD280" s="3"/>
      <c r="AE280" s="3"/>
      <c r="AF280" s="3"/>
      <c r="AG280" s="3"/>
      <c r="AH280" s="3"/>
      <c r="AI280" s="4"/>
      <c r="AJ280" s="4"/>
      <c r="AK280" s="4"/>
      <c r="AL280" s="19"/>
    </row>
    <row r="281" spans="1:38" s="18" customFormat="1" ht="13.2" x14ac:dyDescent="0.25">
      <c r="A281" s="6"/>
      <c r="B281" s="7"/>
      <c r="C281" s="6"/>
      <c r="D281" s="6"/>
      <c r="E281" s="3"/>
      <c r="F281" s="3"/>
      <c r="G281" s="3"/>
      <c r="H281" s="3"/>
      <c r="I281" s="30"/>
      <c r="J281" s="3"/>
      <c r="K281" s="3"/>
      <c r="L281" s="3"/>
      <c r="M281" s="3"/>
      <c r="N281" s="3"/>
      <c r="O281" s="31"/>
      <c r="P281" s="30"/>
      <c r="Q281" s="29"/>
      <c r="R281" s="28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5"/>
      <c r="AD281" s="3"/>
      <c r="AE281" s="3"/>
      <c r="AF281" s="3"/>
      <c r="AG281" s="3"/>
      <c r="AH281" s="3"/>
      <c r="AI281" s="4"/>
      <c r="AJ281" s="4"/>
      <c r="AK281" s="4"/>
      <c r="AL281" s="19"/>
    </row>
    <row r="282" spans="1:38" s="18" customFormat="1" ht="13.2" x14ac:dyDescent="0.25">
      <c r="A282" s="26"/>
      <c r="B282" s="27"/>
      <c r="C282" s="26"/>
      <c r="D282" s="26"/>
      <c r="E282" s="20"/>
      <c r="F282" s="20"/>
      <c r="G282" s="20"/>
      <c r="H282" s="20"/>
      <c r="I282" s="24"/>
      <c r="J282" s="20"/>
      <c r="K282" s="20"/>
      <c r="L282" s="20"/>
      <c r="M282" s="20"/>
      <c r="N282" s="20"/>
      <c r="O282" s="25"/>
      <c r="P282" s="24"/>
      <c r="Q282" s="23"/>
      <c r="R282" s="22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1"/>
      <c r="AD282" s="20"/>
      <c r="AE282" s="20"/>
      <c r="AF282" s="20"/>
      <c r="AG282" s="20"/>
      <c r="AH282" s="20"/>
      <c r="AI282" s="19"/>
      <c r="AJ282" s="19"/>
      <c r="AK282" s="4"/>
      <c r="AL282" s="19"/>
    </row>
    <row r="283" spans="1:38" s="18" customFormat="1" ht="13.2" x14ac:dyDescent="0.25">
      <c r="A283" s="6"/>
      <c r="B283" s="7"/>
      <c r="C283" s="6"/>
      <c r="D283" s="6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5"/>
      <c r="AD283" s="3"/>
      <c r="AE283" s="3"/>
      <c r="AF283" s="3"/>
      <c r="AG283" s="3"/>
      <c r="AH283" s="3"/>
      <c r="AI283" s="3"/>
      <c r="AJ283" s="2"/>
      <c r="AK283" s="4"/>
      <c r="AL283" s="19"/>
    </row>
    <row r="284" spans="1:38" s="2" customFormat="1" ht="20.399999999999999" x14ac:dyDescent="0.2">
      <c r="A284" s="6"/>
      <c r="B284" s="142" t="s">
        <v>23</v>
      </c>
      <c r="C284" s="142"/>
      <c r="D284" s="142"/>
      <c r="E284" s="16" t="s">
        <v>22</v>
      </c>
      <c r="F284" s="16" t="s">
        <v>21</v>
      </c>
      <c r="G284" s="16" t="s">
        <v>20</v>
      </c>
      <c r="H284" s="15"/>
      <c r="I284" s="15"/>
      <c r="J284" s="16" t="s">
        <v>19</v>
      </c>
      <c r="K284" s="16" t="s">
        <v>19</v>
      </c>
      <c r="L284" s="16" t="s">
        <v>18</v>
      </c>
      <c r="M284" s="16" t="s">
        <v>17</v>
      </c>
      <c r="N284" s="16"/>
      <c r="O284" s="16"/>
      <c r="P284" s="16"/>
      <c r="Q284" s="15"/>
      <c r="R284" s="16" t="s">
        <v>16</v>
      </c>
      <c r="S284" s="16" t="s">
        <v>16</v>
      </c>
      <c r="T284" s="16" t="s">
        <v>16</v>
      </c>
      <c r="U284" s="16" t="s">
        <v>16</v>
      </c>
      <c r="V284" s="16" t="s">
        <v>16</v>
      </c>
      <c r="W284" s="16" t="s">
        <v>16</v>
      </c>
      <c r="X284" s="16" t="s">
        <v>15</v>
      </c>
      <c r="Y284" s="17"/>
      <c r="Z284" s="16" t="s">
        <v>14</v>
      </c>
      <c r="AA284" s="16" t="s">
        <v>14</v>
      </c>
      <c r="AB284" s="16" t="s">
        <v>14</v>
      </c>
      <c r="AC284" s="16" t="s">
        <v>14</v>
      </c>
      <c r="AD284" s="16" t="s">
        <v>13</v>
      </c>
      <c r="AE284" s="16" t="s">
        <v>12</v>
      </c>
      <c r="AF284" s="16" t="s">
        <v>12</v>
      </c>
      <c r="AG284" s="16" t="s">
        <v>12</v>
      </c>
      <c r="AH284" s="16" t="s">
        <v>11</v>
      </c>
      <c r="AI284" s="16" t="s">
        <v>10</v>
      </c>
      <c r="AJ284" s="16" t="s">
        <v>329</v>
      </c>
      <c r="AK284" s="95" t="s">
        <v>330</v>
      </c>
      <c r="AL284" s="16" t="s">
        <v>330</v>
      </c>
    </row>
    <row r="285" spans="1:38" s="2" customFormat="1" ht="10.199999999999999" x14ac:dyDescent="0.2">
      <c r="A285" s="6"/>
      <c r="B285" s="143" t="s">
        <v>9</v>
      </c>
      <c r="C285" s="143"/>
      <c r="D285" s="143"/>
      <c r="E285" s="13">
        <f>1451400+47400+103400+279700+2015000+4696600+49800+210000</f>
        <v>8853300</v>
      </c>
      <c r="F285" s="13">
        <f>-895000+47400+103400+279700+2015000+4696600+49800+210000</f>
        <v>6506900</v>
      </c>
      <c r="G285" s="13">
        <f>-2204600+47400+103400+279700+1740000+2232100+4547500+49800+210000</f>
        <v>7005300</v>
      </c>
      <c r="H285" s="15"/>
      <c r="I285" s="15"/>
      <c r="J285" s="13">
        <f>SUM(J286:J287)</f>
        <v>4543899.3911765432</v>
      </c>
      <c r="K285" s="13">
        <f>SUM(K286:K287)</f>
        <v>3059119.0092175407</v>
      </c>
      <c r="L285" s="13">
        <f>SUM(L286:L287)</f>
        <v>6636384.5092175361</v>
      </c>
      <c r="M285" s="13">
        <f>SUM(M286:M287)</f>
        <v>7317527.4610000048</v>
      </c>
      <c r="N285" s="13"/>
      <c r="O285" s="13"/>
      <c r="P285" s="13"/>
      <c r="Q285" s="15"/>
      <c r="R285" s="13">
        <f t="shared" ref="R285:X285" si="117">SUM(R286:R287)</f>
        <v>3644749.7213406935</v>
      </c>
      <c r="S285" s="13">
        <f t="shared" si="117"/>
        <v>3298822.4476920459</v>
      </c>
      <c r="T285" s="13">
        <f t="shared" si="117"/>
        <v>3404171.3523968505</v>
      </c>
      <c r="U285" s="13">
        <f t="shared" si="117"/>
        <v>1149934.7476920458</v>
      </c>
      <c r="V285" s="13">
        <f t="shared" si="117"/>
        <v>1054711.7476920458</v>
      </c>
      <c r="W285" s="13">
        <f t="shared" si="117"/>
        <v>1045797.3476920454</v>
      </c>
      <c r="X285" s="13">
        <f t="shared" si="117"/>
        <v>2944200</v>
      </c>
      <c r="Y285" s="14"/>
      <c r="Z285" s="13">
        <f t="shared" ref="Z285:AI285" si="118">SUM(Z286:Z287)</f>
        <v>2944200.0363333337</v>
      </c>
      <c r="AA285" s="13">
        <f t="shared" si="118"/>
        <v>2351776.7393333334</v>
      </c>
      <c r="AB285" s="13">
        <f t="shared" si="118"/>
        <v>1969887.8393333335</v>
      </c>
      <c r="AC285" s="13">
        <f t="shared" si="118"/>
        <v>1155088.5393333333</v>
      </c>
      <c r="AD285" s="13">
        <f t="shared" si="118"/>
        <v>2267300</v>
      </c>
      <c r="AE285" s="13">
        <f t="shared" si="118"/>
        <v>2863236.8659999948</v>
      </c>
      <c r="AF285" s="13">
        <f t="shared" si="118"/>
        <v>1494606.2349999947</v>
      </c>
      <c r="AG285" s="13">
        <f t="shared" si="118"/>
        <v>-516584.76500000525</v>
      </c>
      <c r="AH285" s="13">
        <f t="shared" si="118"/>
        <v>2111000</v>
      </c>
      <c r="AI285" s="13">
        <f t="shared" si="118"/>
        <v>3620400</v>
      </c>
      <c r="AJ285" s="12">
        <f>AJ286+AJ287</f>
        <v>1905200</v>
      </c>
      <c r="AK285" s="98">
        <f>AK286+AK287</f>
        <v>2068845.866681274</v>
      </c>
      <c r="AL285" s="12">
        <f>AL286+AL287</f>
        <v>3535545.866681274</v>
      </c>
    </row>
    <row r="286" spans="1:38" s="2" customFormat="1" ht="10.199999999999999" x14ac:dyDescent="0.2">
      <c r="A286" s="6"/>
      <c r="B286" s="141" t="s">
        <v>8</v>
      </c>
      <c r="C286" s="141"/>
      <c r="D286" s="141"/>
      <c r="E286" s="13">
        <v>1451400</v>
      </c>
      <c r="F286" s="13">
        <v>-895000</v>
      </c>
      <c r="G286" s="13">
        <v>-2204600</v>
      </c>
      <c r="H286" s="15"/>
      <c r="I286" s="15"/>
      <c r="J286" s="13">
        <f>G286+I14-I277</f>
        <v>-4666000.6088234568</v>
      </c>
      <c r="K286" s="13">
        <f>J286-J277</f>
        <v>-6150780.9907824593</v>
      </c>
      <c r="L286" s="13">
        <f>-2204600+L14-L277</f>
        <v>-2573515.4907824639</v>
      </c>
      <c r="M286" s="13">
        <f>-2169800+M14-M277</f>
        <v>-1892372.5389999952</v>
      </c>
      <c r="N286" s="13"/>
      <c r="O286" s="13"/>
      <c r="P286" s="13"/>
      <c r="Q286" s="15"/>
      <c r="R286" s="13">
        <f>M286+R14-R277</f>
        <v>-5565150.2786593065</v>
      </c>
      <c r="S286" s="13">
        <f>R286+S14-S277</f>
        <v>-5911077.5523079541</v>
      </c>
      <c r="T286" s="13">
        <f>S286+T14-T277</f>
        <v>-5805728.6476031495</v>
      </c>
      <c r="U286" s="13">
        <f>T286+U14-U277</f>
        <v>-8059965.2523079542</v>
      </c>
      <c r="V286" s="13">
        <f>U286+V14-V277</f>
        <v>-8155188.2523079542</v>
      </c>
      <c r="W286" s="13">
        <f>V286+W14-W277</f>
        <v>-8164102.6523079546</v>
      </c>
      <c r="X286" s="13">
        <f>10764100-9209900+8395500-16215400</f>
        <v>-6265700</v>
      </c>
      <c r="Y286" s="14"/>
      <c r="Z286" s="13">
        <f>X286+Z14-Z277+AD288</f>
        <v>-2156599.9636666663</v>
      </c>
      <c r="AA286" s="13">
        <f>Z286+AA14-AA277</f>
        <v>-2749023.2606666666</v>
      </c>
      <c r="AB286" s="13">
        <f>AA286+AB14-AB277</f>
        <v>-3130912.1606666665</v>
      </c>
      <c r="AC286" s="13">
        <f>AB286+AC14-AC277</f>
        <v>-3945711.4606666667</v>
      </c>
      <c r="AD286" s="13">
        <f>5728100-AD287+10047400-13508200</f>
        <v>-2556100</v>
      </c>
      <c r="AE286" s="13">
        <f>AD286+AE14-AE277</f>
        <v>-1960163.1340000052</v>
      </c>
      <c r="AF286" s="13">
        <f>AE286+AF14-AF277-(AF287-AE287)</f>
        <v>-4323893.7650000053</v>
      </c>
      <c r="AG286" s="13">
        <f>AF286+AG14-AG277</f>
        <v>-6335084.7650000053</v>
      </c>
      <c r="AH286" s="13">
        <v>-3707500</v>
      </c>
      <c r="AI286" s="13">
        <f>1533300+2087100-AI287</f>
        <v>-2098100</v>
      </c>
      <c r="AJ286" s="12">
        <f>6848100+9689500-14632400-AJ287</f>
        <v>-1470700</v>
      </c>
      <c r="AK286" s="98">
        <f>AJ286+AK14-AK277</f>
        <v>-1307054.133318726</v>
      </c>
      <c r="AL286" s="12">
        <f>AJ286+AL14-AL277</f>
        <v>-1307054.133318726</v>
      </c>
    </row>
    <row r="287" spans="1:38" s="2" customFormat="1" ht="10.199999999999999" x14ac:dyDescent="0.2">
      <c r="A287" s="6"/>
      <c r="B287" s="141" t="s">
        <v>7</v>
      </c>
      <c r="C287" s="141"/>
      <c r="D287" s="141"/>
      <c r="E287" s="13">
        <f>E285-E286</f>
        <v>7401900</v>
      </c>
      <c r="F287" s="13">
        <f>F285-F286</f>
        <v>7401900</v>
      </c>
      <c r="G287" s="13">
        <f>G285-G286</f>
        <v>9209900</v>
      </c>
      <c r="H287" s="15"/>
      <c r="I287" s="15"/>
      <c r="J287" s="13">
        <v>9209900</v>
      </c>
      <c r="K287" s="13">
        <f>J287</f>
        <v>9209900</v>
      </c>
      <c r="L287" s="13">
        <v>9209900</v>
      </c>
      <c r="M287" s="13">
        <v>9209900</v>
      </c>
      <c r="N287" s="13"/>
      <c r="O287" s="13"/>
      <c r="P287" s="13"/>
      <c r="Q287" s="15"/>
      <c r="R287" s="13">
        <f>M287</f>
        <v>9209900</v>
      </c>
      <c r="S287" s="13">
        <f>R287</f>
        <v>9209900</v>
      </c>
      <c r="T287" s="13">
        <f>S287</f>
        <v>9209900</v>
      </c>
      <c r="U287" s="13">
        <f>T287</f>
        <v>9209900</v>
      </c>
      <c r="V287" s="13">
        <f>U287</f>
        <v>9209900</v>
      </c>
      <c r="W287" s="13">
        <f>V287</f>
        <v>9209900</v>
      </c>
      <c r="X287" s="13">
        <f>M287</f>
        <v>9209900</v>
      </c>
      <c r="Y287" s="14"/>
      <c r="Z287" s="13">
        <f>X287-AD288</f>
        <v>5100800</v>
      </c>
      <c r="AA287" s="13">
        <f>Z287</f>
        <v>5100800</v>
      </c>
      <c r="AB287" s="13">
        <f>AA287</f>
        <v>5100800</v>
      </c>
      <c r="AC287" s="13">
        <f>AB287</f>
        <v>5100800</v>
      </c>
      <c r="AD287" s="13">
        <f>X287-AD288-277400</f>
        <v>4823400</v>
      </c>
      <c r="AE287" s="13">
        <f>AD287</f>
        <v>4823400</v>
      </c>
      <c r="AF287" s="13">
        <v>5818500</v>
      </c>
      <c r="AG287" s="13">
        <v>5818500</v>
      </c>
      <c r="AH287" s="13">
        <f>AF287</f>
        <v>5818500</v>
      </c>
      <c r="AI287" s="13">
        <f>5818500-100000</f>
        <v>5718500</v>
      </c>
      <c r="AJ287" s="13">
        <v>3375900</v>
      </c>
      <c r="AK287" s="98">
        <v>3375900</v>
      </c>
      <c r="AL287" s="12">
        <f>5718500-875900</f>
        <v>4842600</v>
      </c>
    </row>
    <row r="288" spans="1:38" s="2" customFormat="1" ht="10.199999999999999" x14ac:dyDescent="0.2">
      <c r="A288" s="6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3"/>
      <c r="Z288" s="3"/>
      <c r="AA288" s="3"/>
      <c r="AB288" s="3"/>
      <c r="AC288" s="5"/>
      <c r="AD288" s="11">
        <f>49800+210000+103400+63000+784000+1548700+1350200</f>
        <v>4109100</v>
      </c>
      <c r="AE288" s="3"/>
      <c r="AF288" s="3"/>
      <c r="AG288" s="3"/>
      <c r="AH288" s="3"/>
      <c r="AI288" s="3"/>
      <c r="AJ288" s="4"/>
      <c r="AK288" s="4"/>
    </row>
    <row r="289" spans="1:38" s="2" customFormat="1" ht="10.199999999999999" x14ac:dyDescent="0.2">
      <c r="A289" s="6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3"/>
      <c r="Z289" s="3"/>
      <c r="AA289" s="3"/>
      <c r="AB289" s="3"/>
      <c r="AC289" s="5"/>
      <c r="AD289" s="11"/>
      <c r="AE289" s="3"/>
      <c r="AF289" s="3"/>
      <c r="AG289" s="3"/>
      <c r="AH289" s="3"/>
      <c r="AI289" s="3"/>
      <c r="AJ289" s="4"/>
      <c r="AK289" s="4"/>
      <c r="AL289" s="4"/>
    </row>
    <row r="290" spans="1:38" s="2" customFormat="1" ht="10.199999999999999" x14ac:dyDescent="0.2">
      <c r="A290" s="6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3"/>
      <c r="Z290" s="3"/>
      <c r="AA290" s="3"/>
      <c r="AB290" s="3"/>
      <c r="AC290" s="5"/>
      <c r="AD290" s="11"/>
      <c r="AE290" s="3"/>
      <c r="AF290" s="3"/>
      <c r="AG290" s="3"/>
      <c r="AH290" s="3"/>
      <c r="AI290" s="3"/>
      <c r="AJ290" s="4"/>
      <c r="AK290" s="4"/>
      <c r="AL290" s="3"/>
    </row>
    <row r="291" spans="1:38" s="2" customFormat="1" ht="10.199999999999999" x14ac:dyDescent="0.2">
      <c r="A291" s="6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3"/>
      <c r="Z291" s="3"/>
      <c r="AA291" s="3"/>
      <c r="AB291" s="3"/>
      <c r="AC291" s="5"/>
      <c r="AD291" s="3"/>
      <c r="AE291" s="3"/>
      <c r="AF291" s="3"/>
      <c r="AG291" s="3"/>
      <c r="AH291" s="3"/>
      <c r="AI291" s="3"/>
      <c r="AJ291" s="4"/>
      <c r="AK291" s="4"/>
      <c r="AL291" s="3"/>
    </row>
    <row r="292" spans="1:38" s="2" customFormat="1" ht="10.199999999999999" x14ac:dyDescent="0.2">
      <c r="A292" s="6"/>
      <c r="B292" s="9" t="s">
        <v>6</v>
      </c>
      <c r="C292" s="9"/>
      <c r="D292" s="9"/>
      <c r="E292" s="9"/>
      <c r="F292" s="7"/>
      <c r="G292" s="7"/>
      <c r="H292" s="6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5"/>
      <c r="AD292" s="3"/>
      <c r="AE292" s="3"/>
      <c r="AF292" s="3"/>
      <c r="AG292" s="3"/>
      <c r="AH292" s="3"/>
      <c r="AI292" s="3"/>
      <c r="AJ292" s="4"/>
      <c r="AK292" s="4"/>
      <c r="AL292" s="3"/>
    </row>
    <row r="293" spans="1:38" s="2" customFormat="1" ht="10.199999999999999" x14ac:dyDescent="0.2">
      <c r="A293" s="6"/>
      <c r="B293" s="9" t="s">
        <v>5</v>
      </c>
      <c r="C293" s="9"/>
      <c r="D293" s="9"/>
      <c r="E293" s="9"/>
      <c r="F293" s="7"/>
      <c r="G293" s="7"/>
      <c r="H293" s="6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7"/>
      <c r="Y293" s="7"/>
      <c r="Z293" s="7"/>
      <c r="AA293" s="7"/>
      <c r="AB293" s="7"/>
      <c r="AC293" s="7"/>
      <c r="AD293" s="7"/>
      <c r="AE293" s="3"/>
      <c r="AF293" s="3"/>
      <c r="AG293" s="3"/>
      <c r="AH293" s="3"/>
      <c r="AI293" s="3"/>
      <c r="AJ293" s="10" t="s">
        <v>4</v>
      </c>
      <c r="AK293" s="4"/>
      <c r="AL293" s="3"/>
    </row>
    <row r="294" spans="1:38" s="2" customFormat="1" ht="10.199999999999999" x14ac:dyDescent="0.2">
      <c r="A294" s="6"/>
      <c r="B294" s="9"/>
      <c r="C294" s="9"/>
      <c r="D294" s="9"/>
      <c r="E294" s="9"/>
      <c r="F294" s="7"/>
      <c r="G294" s="7"/>
      <c r="H294" s="6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7"/>
      <c r="Y294" s="7"/>
      <c r="Z294" s="7"/>
      <c r="AA294" s="7"/>
      <c r="AB294" s="7"/>
      <c r="AC294" s="7"/>
      <c r="AD294" s="7"/>
      <c r="AE294" s="3"/>
      <c r="AF294" s="3"/>
      <c r="AG294" s="3"/>
      <c r="AH294" s="3"/>
      <c r="AI294" s="3"/>
      <c r="AJ294" s="10"/>
      <c r="AK294" s="4"/>
      <c r="AL294" s="3"/>
    </row>
    <row r="295" spans="1:38" s="2" customFormat="1" ht="10.199999999999999" x14ac:dyDescent="0.2">
      <c r="A295" s="6"/>
      <c r="B295" s="9"/>
      <c r="C295" s="9"/>
      <c r="D295" s="9"/>
      <c r="E295" s="9"/>
      <c r="F295" s="7"/>
      <c r="G295" s="7"/>
      <c r="H295" s="6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7"/>
      <c r="Y295" s="7"/>
      <c r="Z295" s="7"/>
      <c r="AA295" s="7"/>
      <c r="AB295" s="7"/>
      <c r="AC295" s="7"/>
      <c r="AD295" s="7"/>
      <c r="AE295" s="3"/>
      <c r="AF295" s="3"/>
      <c r="AG295" s="3"/>
      <c r="AH295" s="3"/>
      <c r="AI295" s="3"/>
      <c r="AJ295" s="10"/>
      <c r="AK295" s="4"/>
      <c r="AL295" s="3"/>
    </row>
    <row r="296" spans="1:38" s="2" customFormat="1" ht="10.199999999999999" x14ac:dyDescent="0.2">
      <c r="A296" s="6"/>
      <c r="B296" s="9" t="s">
        <v>3</v>
      </c>
      <c r="C296" s="9"/>
      <c r="D296" s="9"/>
      <c r="E296" s="9"/>
      <c r="F296" s="7"/>
      <c r="G296" s="7"/>
      <c r="H296" s="6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7"/>
      <c r="Y296" s="7"/>
      <c r="Z296" s="7"/>
      <c r="AA296" s="7"/>
      <c r="AB296" s="7"/>
      <c r="AC296" s="7"/>
      <c r="AD296" s="7"/>
      <c r="AE296" s="3"/>
      <c r="AF296" s="3"/>
      <c r="AG296" s="3"/>
      <c r="AH296" s="3"/>
      <c r="AI296" s="3"/>
      <c r="AJ296" s="3"/>
      <c r="AK296" s="4"/>
      <c r="AL296" s="3"/>
    </row>
    <row r="297" spans="1:38" s="2" customFormat="1" ht="12" customHeight="1" x14ac:dyDescent="0.2">
      <c r="A297" s="6"/>
      <c r="B297" s="9" t="s">
        <v>2</v>
      </c>
      <c r="C297" s="9"/>
      <c r="D297" s="9"/>
      <c r="E297" s="9"/>
      <c r="F297" s="7"/>
      <c r="G297" s="7"/>
      <c r="H297" s="6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7"/>
      <c r="Y297" s="7"/>
      <c r="Z297" s="7"/>
      <c r="AA297" s="7"/>
      <c r="AB297" s="7"/>
      <c r="AC297" s="7"/>
      <c r="AD297" s="7"/>
      <c r="AE297" s="3"/>
      <c r="AF297" s="3"/>
      <c r="AG297" s="3"/>
      <c r="AH297" s="3"/>
      <c r="AI297" s="3"/>
      <c r="AJ297" s="3"/>
      <c r="AK297" s="4"/>
      <c r="AL297" s="3"/>
    </row>
    <row r="298" spans="1:38" s="2" customFormat="1" ht="10.199999999999999" x14ac:dyDescent="0.2">
      <c r="A298" s="6"/>
      <c r="B298" s="9" t="s">
        <v>1</v>
      </c>
      <c r="C298" s="9"/>
      <c r="D298" s="9"/>
      <c r="E298" s="9"/>
      <c r="F298" s="7"/>
      <c r="G298" s="7"/>
      <c r="H298" s="6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7"/>
      <c r="Y298" s="7"/>
      <c r="Z298" s="7"/>
      <c r="AA298" s="7"/>
      <c r="AB298" s="7"/>
      <c r="AC298" s="7"/>
      <c r="AD298" s="7"/>
      <c r="AE298" s="3"/>
      <c r="AF298" s="3"/>
      <c r="AG298" s="3"/>
      <c r="AH298" s="3"/>
      <c r="AI298" s="3"/>
      <c r="AJ298" s="8" t="s">
        <v>0</v>
      </c>
      <c r="AK298" s="4"/>
      <c r="AL298" s="3"/>
    </row>
    <row r="299" spans="1:38" s="2" customFormat="1" ht="10.199999999999999" x14ac:dyDescent="0.2">
      <c r="AI299" s="3"/>
      <c r="AJ299" s="4"/>
      <c r="AK299" s="4"/>
    </row>
    <row r="300" spans="1:38" s="2" customForma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K300" s="102"/>
    </row>
    <row r="301" spans="1:38" s="2" customForma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02"/>
    </row>
  </sheetData>
  <mergeCells count="8">
    <mergeCell ref="A9:AL9"/>
    <mergeCell ref="A10:AL10"/>
    <mergeCell ref="A11:AL11"/>
    <mergeCell ref="B286:D286"/>
    <mergeCell ref="B287:D287"/>
    <mergeCell ref="B284:D284"/>
    <mergeCell ref="B285:D285"/>
    <mergeCell ref="B60:H60"/>
  </mergeCells>
  <pageMargins left="0.27559055118110237" right="0.15748031496062992" top="0.23622047244094491" bottom="0.41" header="0.15748031496062992" footer="0.27"/>
  <pageSetup paperSize="9" scale="85" fitToHeight="0" orientation="landscape" r:id="rId1"/>
  <headerFooter>
    <oddFooter>&amp;R&amp;P</oddFooter>
  </headerFooter>
  <colBreaks count="1" manualBreakCount="1"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327"/>
  <sheetViews>
    <sheetView showZeros="0" topLeftCell="A293" zoomScale="130" zoomScaleNormal="130" workbookViewId="0">
      <selection activeCell="AO296" sqref="AO296"/>
    </sheetView>
  </sheetViews>
  <sheetFormatPr defaultColWidth="9.28515625" defaultRowHeight="15.6" x14ac:dyDescent="0.3"/>
  <cols>
    <col min="1" max="1" width="9.42578125" style="1" bestFit="1" customWidth="1"/>
    <col min="2" max="2" width="40.28515625" style="1" customWidth="1"/>
    <col min="3" max="3" width="15.28515625" style="1" customWidth="1"/>
    <col min="4" max="4" width="15.28515625" style="1" bestFit="1" customWidth="1"/>
    <col min="5" max="5" width="14.140625" style="1" customWidth="1"/>
    <col min="6" max="6" width="15.28515625" style="1" customWidth="1"/>
    <col min="7" max="9" width="15.28515625" style="1" hidden="1" customWidth="1"/>
    <col min="10" max="11" width="15" style="1" hidden="1" customWidth="1"/>
    <col min="12" max="12" width="15.28515625" style="1" hidden="1" customWidth="1"/>
    <col min="13" max="13" width="14.85546875" style="1" customWidth="1"/>
    <col min="14" max="14" width="15" style="1" hidden="1" customWidth="1"/>
    <col min="15" max="15" width="9.42578125" style="1" hidden="1" customWidth="1"/>
    <col min="16" max="16" width="15.28515625" style="1" hidden="1" customWidth="1"/>
    <col min="17" max="23" width="15" style="1" hidden="1" customWidth="1"/>
    <col min="24" max="24" width="14" style="1" customWidth="1"/>
    <col min="25" max="25" width="14" style="1" hidden="1" customWidth="1"/>
    <col min="26" max="29" width="15" style="1" hidden="1" customWidth="1"/>
    <col min="30" max="30" width="15" style="1" customWidth="1"/>
    <col min="31" max="31" width="15.28515625" style="1" hidden="1" customWidth="1"/>
    <col min="32" max="33" width="15" style="1" hidden="1" customWidth="1"/>
    <col min="34" max="34" width="15" style="1" customWidth="1"/>
    <col min="35" max="35" width="15.28515625" style="1" customWidth="1"/>
    <col min="36" max="36" width="14.28515625" style="1" customWidth="1"/>
    <col min="37" max="37" width="14.28515625" style="103" hidden="1" customWidth="1"/>
    <col min="38" max="38" width="14.28515625" style="1" hidden="1" customWidth="1"/>
    <col min="39" max="39" width="14.140625" style="1" hidden="1" customWidth="1"/>
    <col min="40" max="41" width="14.140625" style="1" customWidth="1"/>
    <col min="42" max="16384" width="9.28515625" style="1"/>
  </cols>
  <sheetData>
    <row r="1" spans="1:43" hidden="1" x14ac:dyDescent="0.3">
      <c r="AI1" s="1" t="s">
        <v>343</v>
      </c>
    </row>
    <row r="2" spans="1:43" ht="14.25" hidden="1" customHeight="1" x14ac:dyDescent="0.3">
      <c r="AI2" s="1" t="s">
        <v>344</v>
      </c>
    </row>
    <row r="3" spans="1:43" ht="10.5" customHeight="1" x14ac:dyDescent="0.3">
      <c r="AI3" s="89"/>
      <c r="AJ3" s="89"/>
      <c r="AK3" s="89"/>
      <c r="AL3" s="89"/>
      <c r="AM3" s="89"/>
      <c r="AN3" s="89"/>
    </row>
    <row r="4" spans="1:43" s="18" customFormat="1" ht="13.2" x14ac:dyDescent="0.25">
      <c r="A4" s="19"/>
      <c r="B4" s="19" t="s">
        <v>339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89"/>
      <c r="AJ4" s="19" t="s">
        <v>338</v>
      </c>
      <c r="AK4" s="19"/>
      <c r="AL4" s="89"/>
      <c r="AM4" s="89"/>
      <c r="AN4" s="89"/>
      <c r="AO4" s="89"/>
      <c r="AQ4" s="20"/>
    </row>
    <row r="5" spans="1:43" s="18" customFormat="1" ht="13.2" x14ac:dyDescent="0.25">
      <c r="A5" s="90"/>
      <c r="B5" s="20" t="s">
        <v>326</v>
      </c>
      <c r="C5" s="27"/>
      <c r="D5" s="27"/>
      <c r="E5" s="27"/>
      <c r="F5" s="27"/>
      <c r="G5" s="27"/>
      <c r="H5" s="26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1"/>
      <c r="AD5" s="20"/>
      <c r="AE5" s="20"/>
      <c r="AF5" s="20"/>
      <c r="AG5" s="20"/>
      <c r="AH5" s="89"/>
      <c r="AI5" s="89"/>
      <c r="AJ5" s="20" t="s">
        <v>350</v>
      </c>
      <c r="AK5" s="20"/>
      <c r="AL5" s="89"/>
      <c r="AM5" s="89"/>
      <c r="AN5" s="89"/>
      <c r="AO5" s="89"/>
      <c r="AQ5" s="20"/>
    </row>
    <row r="6" spans="1:43" s="18" customFormat="1" ht="13.2" x14ac:dyDescent="0.25">
      <c r="A6" s="26"/>
      <c r="B6" s="20" t="s">
        <v>322</v>
      </c>
      <c r="C6" s="27"/>
      <c r="D6" s="27"/>
      <c r="E6" s="27"/>
      <c r="F6" s="27"/>
      <c r="G6" s="27"/>
      <c r="H6" s="26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1"/>
      <c r="AD6" s="20"/>
      <c r="AE6" s="20"/>
      <c r="AF6" s="20"/>
      <c r="AG6" s="20"/>
      <c r="AH6" s="89"/>
      <c r="AI6" s="89"/>
      <c r="AJ6" s="20" t="s">
        <v>321</v>
      </c>
      <c r="AK6" s="20"/>
      <c r="AL6" s="89"/>
      <c r="AM6" s="89"/>
      <c r="AN6" s="89"/>
      <c r="AO6" s="89"/>
      <c r="AQ6" s="20"/>
    </row>
    <row r="7" spans="1:43" s="18" customFormat="1" ht="13.2" x14ac:dyDescent="0.25">
      <c r="A7" s="26"/>
      <c r="B7" s="89" t="s">
        <v>325</v>
      </c>
      <c r="C7" s="27"/>
      <c r="D7" s="27"/>
      <c r="E7" s="27"/>
      <c r="F7" s="27"/>
      <c r="G7" s="27"/>
      <c r="H7" s="26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1"/>
      <c r="AD7" s="89"/>
      <c r="AE7" s="89"/>
      <c r="AF7" s="89"/>
      <c r="AG7" s="89"/>
      <c r="AH7" s="89"/>
      <c r="AI7" s="89"/>
      <c r="AJ7" s="89" t="s">
        <v>320</v>
      </c>
      <c r="AK7" s="20"/>
      <c r="AL7" s="89"/>
      <c r="AM7" s="89"/>
      <c r="AN7" s="89"/>
      <c r="AO7" s="89"/>
      <c r="AQ7" s="20"/>
    </row>
    <row r="8" spans="1:43" s="18" customFormat="1" ht="13.2" x14ac:dyDescent="0.25">
      <c r="A8" s="26"/>
      <c r="B8" s="20"/>
      <c r="C8" s="27"/>
      <c r="D8" s="27"/>
      <c r="E8" s="27"/>
      <c r="F8" s="27"/>
      <c r="G8" s="27"/>
      <c r="H8" s="26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1"/>
      <c r="AD8" s="20"/>
      <c r="AE8" s="20"/>
      <c r="AF8" s="20"/>
      <c r="AG8" s="20"/>
      <c r="AH8" s="89"/>
      <c r="AI8" s="89"/>
      <c r="AJ8" s="20"/>
      <c r="AK8" s="20"/>
      <c r="AL8" s="89"/>
      <c r="AM8" s="89"/>
      <c r="AN8" s="89"/>
      <c r="AO8" s="89"/>
      <c r="AQ8" s="20"/>
    </row>
    <row r="9" spans="1:43" s="18" customFormat="1" ht="13.2" x14ac:dyDescent="0.25">
      <c r="A9" s="26"/>
      <c r="B9" s="20"/>
      <c r="C9" s="27"/>
      <c r="D9" s="27"/>
      <c r="E9" s="27"/>
      <c r="F9" s="27"/>
      <c r="G9" s="27"/>
      <c r="H9" s="26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1"/>
      <c r="AD9" s="20"/>
      <c r="AE9" s="20"/>
      <c r="AF9" s="20"/>
      <c r="AG9" s="20"/>
      <c r="AH9" s="89"/>
      <c r="AI9" s="89"/>
      <c r="AJ9" s="20"/>
      <c r="AK9" s="20"/>
      <c r="AL9" s="89"/>
      <c r="AM9" s="89"/>
      <c r="AN9" s="89"/>
      <c r="AO9" s="89"/>
      <c r="AQ9" s="20"/>
    </row>
    <row r="10" spans="1:43" s="18" customFormat="1" ht="13.2" x14ac:dyDescent="0.25">
      <c r="A10" s="20"/>
      <c r="B10" s="21" t="s">
        <v>356</v>
      </c>
      <c r="C10" s="27"/>
      <c r="D10" s="27"/>
      <c r="E10" s="27"/>
      <c r="F10" s="27"/>
      <c r="G10" s="27"/>
      <c r="H10" s="26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1"/>
      <c r="AD10" s="21"/>
      <c r="AE10" s="20"/>
      <c r="AF10" s="20"/>
      <c r="AG10" s="20"/>
      <c r="AH10" s="89"/>
      <c r="AI10" s="89"/>
      <c r="AJ10" s="21" t="s">
        <v>356</v>
      </c>
      <c r="AK10" s="20"/>
      <c r="AL10" s="89"/>
      <c r="AM10" s="89"/>
      <c r="AN10" s="89"/>
      <c r="AO10" s="89"/>
      <c r="AQ10" s="20"/>
    </row>
    <row r="11" spans="1:43" s="18" customFormat="1" ht="13.2" x14ac:dyDescent="0.25">
      <c r="A11" s="20"/>
      <c r="B11" s="20"/>
      <c r="C11" s="27"/>
      <c r="D11" s="27"/>
      <c r="E11" s="27"/>
      <c r="F11" s="27"/>
      <c r="G11" s="20"/>
      <c r="H11" s="26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1"/>
      <c r="AD11" s="20"/>
      <c r="AE11" s="20"/>
      <c r="AF11" s="20"/>
      <c r="AG11" s="20"/>
      <c r="AH11" s="89"/>
      <c r="AI11" s="89"/>
      <c r="AJ11" s="89"/>
      <c r="AK11" s="89"/>
      <c r="AL11" s="89"/>
      <c r="AM11" s="89"/>
      <c r="AN11" s="89"/>
      <c r="AO11" s="89"/>
    </row>
    <row r="12" spans="1:43" s="18" customFormat="1" ht="13.2" x14ac:dyDescent="0.25">
      <c r="A12" s="140" t="s">
        <v>319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89"/>
    </row>
    <row r="13" spans="1:43" s="18" customFormat="1" ht="13.2" x14ac:dyDescent="0.25">
      <c r="A13" s="140" t="s">
        <v>318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</row>
    <row r="14" spans="1:43" s="18" customFormat="1" ht="13.2" x14ac:dyDescent="0.25">
      <c r="A14" s="140" t="s">
        <v>357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</row>
    <row r="15" spans="1:43" ht="11.25" customHeight="1" x14ac:dyDescent="0.3">
      <c r="A15" s="83"/>
      <c r="B15" s="88"/>
      <c r="C15" s="88"/>
      <c r="D15" s="88"/>
      <c r="E15" s="88"/>
      <c r="F15" s="88"/>
      <c r="G15" s="88"/>
      <c r="H15" s="87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6"/>
      <c r="AD15" s="84"/>
      <c r="AE15" s="84"/>
      <c r="AF15" s="84"/>
      <c r="AG15" s="84"/>
      <c r="AI15" s="84"/>
      <c r="AJ15" s="85"/>
      <c r="AK15" s="1"/>
      <c r="AM15" s="18"/>
      <c r="AN15" s="89"/>
      <c r="AO15" s="20" t="s">
        <v>274</v>
      </c>
    </row>
    <row r="16" spans="1:43" ht="32.4" x14ac:dyDescent="0.3">
      <c r="A16" s="83"/>
      <c r="B16" s="82" t="s">
        <v>317</v>
      </c>
      <c r="C16" s="79" t="s">
        <v>271</v>
      </c>
      <c r="D16" s="79" t="s">
        <v>270</v>
      </c>
      <c r="E16" s="78" t="s">
        <v>269</v>
      </c>
      <c r="F16" s="78" t="s">
        <v>268</v>
      </c>
      <c r="G16" s="79" t="s">
        <v>316</v>
      </c>
      <c r="H16" s="81" t="s">
        <v>315</v>
      </c>
      <c r="I16" s="80" t="s">
        <v>314</v>
      </c>
      <c r="J16" s="80" t="s">
        <v>314</v>
      </c>
      <c r="K16" s="80" t="s">
        <v>314</v>
      </c>
      <c r="L16" s="79" t="s">
        <v>313</v>
      </c>
      <c r="M16" s="78" t="s">
        <v>263</v>
      </c>
      <c r="N16" s="79" t="s">
        <v>262</v>
      </c>
      <c r="O16" s="79" t="s">
        <v>261</v>
      </c>
      <c r="P16" s="79" t="s">
        <v>312</v>
      </c>
      <c r="Q16" s="79" t="s">
        <v>311</v>
      </c>
      <c r="R16" s="79" t="s">
        <v>258</v>
      </c>
      <c r="S16" s="79" t="s">
        <v>257</v>
      </c>
      <c r="T16" s="79" t="s">
        <v>256</v>
      </c>
      <c r="U16" s="79" t="s">
        <v>255</v>
      </c>
      <c r="V16" s="79" t="s">
        <v>254</v>
      </c>
      <c r="W16" s="79" t="s">
        <v>253</v>
      </c>
      <c r="X16" s="78" t="s">
        <v>252</v>
      </c>
      <c r="Y16" s="79"/>
      <c r="Z16" s="79" t="s">
        <v>250</v>
      </c>
      <c r="AA16" s="79" t="s">
        <v>249</v>
      </c>
      <c r="AB16" s="79" t="s">
        <v>248</v>
      </c>
      <c r="AC16" s="79" t="s">
        <v>247</v>
      </c>
      <c r="AD16" s="78" t="s">
        <v>246</v>
      </c>
      <c r="AE16" s="79" t="s">
        <v>245</v>
      </c>
      <c r="AF16" s="79" t="s">
        <v>244</v>
      </c>
      <c r="AG16" s="79" t="s">
        <v>244</v>
      </c>
      <c r="AH16" s="78" t="s">
        <v>243</v>
      </c>
      <c r="AI16" s="78" t="s">
        <v>310</v>
      </c>
      <c r="AJ16" s="78" t="s">
        <v>241</v>
      </c>
      <c r="AK16" s="78" t="s">
        <v>345</v>
      </c>
      <c r="AL16" s="78" t="s">
        <v>309</v>
      </c>
      <c r="AM16" s="78" t="s">
        <v>346</v>
      </c>
      <c r="AN16" s="78" t="s">
        <v>328</v>
      </c>
      <c r="AO16" s="111" t="s">
        <v>354</v>
      </c>
    </row>
    <row r="17" spans="1:42" s="2" customFormat="1" ht="10.199999999999999" x14ac:dyDescent="0.2">
      <c r="A17" s="3"/>
      <c r="B17" s="77" t="s">
        <v>308</v>
      </c>
      <c r="C17" s="76">
        <f>C18+C37+C38+C40+C50</f>
        <v>125767448.5</v>
      </c>
      <c r="D17" s="76">
        <f t="shared" ref="D17:D25" si="0">C17/12</f>
        <v>10480620.708333334</v>
      </c>
      <c r="E17" s="76">
        <f>E18+E37+E38+E40+E50</f>
        <v>6378770</v>
      </c>
      <c r="F17" s="76">
        <f>F18+F37+F38+F40+F50</f>
        <v>9919660</v>
      </c>
      <c r="G17" s="76">
        <f>G18+G37+G38+G40+G50</f>
        <v>7578500</v>
      </c>
      <c r="H17" s="76">
        <f>H18+H37+H38+H40+H50</f>
        <v>11424573</v>
      </c>
      <c r="I17" s="76">
        <f>I18+I37+I38+I40+I50</f>
        <v>7990664.7000000002</v>
      </c>
      <c r="J17" s="76"/>
      <c r="K17" s="76"/>
      <c r="L17" s="76">
        <f>L18+L37+L38+L40+L50</f>
        <v>11690664.699999999</v>
      </c>
      <c r="M17" s="76">
        <f>M18+M37+M38+M40+M50</f>
        <v>11772700</v>
      </c>
      <c r="N17" s="76">
        <f t="shared" ref="N17:N40" si="1">M17-L17</f>
        <v>82035.300000000745</v>
      </c>
      <c r="O17" s="76">
        <f t="shared" ref="O17:O22" si="2">M17/L17*100</f>
        <v>100.70171630189687</v>
      </c>
      <c r="P17" s="76">
        <f t="shared" ref="P17:U17" si="3">P18+P37+P38+P40+P50</f>
        <v>10914147</v>
      </c>
      <c r="Q17" s="76">
        <f t="shared" si="3"/>
        <v>-4712250</v>
      </c>
      <c r="R17" s="76">
        <f t="shared" si="3"/>
        <v>6201897</v>
      </c>
      <c r="S17" s="76">
        <f t="shared" si="3"/>
        <v>1012250</v>
      </c>
      <c r="T17" s="76">
        <f t="shared" si="3"/>
        <v>617020</v>
      </c>
      <c r="U17" s="76">
        <f t="shared" si="3"/>
        <v>-917020</v>
      </c>
      <c r="V17" s="76"/>
      <c r="W17" s="76"/>
      <c r="X17" s="76">
        <f>X18+X37+X38+X40+X50</f>
        <v>6914147</v>
      </c>
      <c r="Y17" s="76"/>
      <c r="Z17" s="76">
        <f>Z18+Z37+Z38+Z40+Z50</f>
        <v>9336831.6999999993</v>
      </c>
      <c r="AA17" s="76"/>
      <c r="AB17" s="76"/>
      <c r="AC17" s="76"/>
      <c r="AD17" s="76">
        <f t="shared" ref="AD17:AD22" si="4">SUM(Z17:AB17)</f>
        <v>9336831.6999999993</v>
      </c>
      <c r="AE17" s="76">
        <f t="shared" ref="AE17:AO17" si="5">AE18+AE37+AE38+AE40+AE50</f>
        <v>10127085.799999999</v>
      </c>
      <c r="AF17" s="76">
        <f t="shared" si="5"/>
        <v>57591.299999999974</v>
      </c>
      <c r="AG17" s="76">
        <f t="shared" si="5"/>
        <v>-1552035</v>
      </c>
      <c r="AH17" s="76">
        <f t="shared" si="5"/>
        <v>8632642.0999999996</v>
      </c>
      <c r="AI17" s="75">
        <f t="shared" si="5"/>
        <v>11529891.800000001</v>
      </c>
      <c r="AJ17" s="75">
        <f t="shared" si="5"/>
        <v>10036727.084999999</v>
      </c>
      <c r="AK17" s="97">
        <f t="shared" si="5"/>
        <v>9836267.5999999996</v>
      </c>
      <c r="AL17" s="73">
        <f t="shared" si="5"/>
        <v>9836267.5999999996</v>
      </c>
      <c r="AM17" s="97">
        <f t="shared" si="5"/>
        <v>460660.1</v>
      </c>
      <c r="AN17" s="97">
        <f t="shared" si="5"/>
        <v>10296927.700000001</v>
      </c>
      <c r="AO17" s="97">
        <f t="shared" si="5"/>
        <v>14571739.1</v>
      </c>
    </row>
    <row r="18" spans="1:42" s="2" customFormat="1" ht="10.199999999999999" x14ac:dyDescent="0.2">
      <c r="A18" s="3"/>
      <c r="B18" s="77" t="s">
        <v>307</v>
      </c>
      <c r="C18" s="76">
        <f>C19+C23+C32</f>
        <v>105348003.09999999</v>
      </c>
      <c r="D18" s="76">
        <f t="shared" si="0"/>
        <v>8779000.2583333328</v>
      </c>
      <c r="E18" s="76">
        <f>E19+E23+E32</f>
        <v>5663720</v>
      </c>
      <c r="F18" s="76">
        <f>F19+F23+F32</f>
        <v>9188190</v>
      </c>
      <c r="G18" s="76">
        <f>G19+G23+G32</f>
        <v>6801000</v>
      </c>
      <c r="H18" s="76">
        <f>H19+H23+H32</f>
        <v>7252964.7000000002</v>
      </c>
      <c r="I18" s="76">
        <f>I19+I23+I32</f>
        <v>7252964.7000000002</v>
      </c>
      <c r="J18" s="76"/>
      <c r="K18" s="76"/>
      <c r="L18" s="76">
        <f>L19+L23+L32</f>
        <v>10952964.699999999</v>
      </c>
      <c r="M18" s="76">
        <f>M19+M23+M32</f>
        <v>10676000</v>
      </c>
      <c r="N18" s="76">
        <f t="shared" si="1"/>
        <v>-276964.69999999925</v>
      </c>
      <c r="O18" s="76">
        <f t="shared" si="2"/>
        <v>97.471326644556797</v>
      </c>
      <c r="P18" s="76">
        <f t="shared" ref="P18:U18" si="6">P19+P23+P32</f>
        <v>10042678.800000001</v>
      </c>
      <c r="Q18" s="76">
        <f t="shared" si="6"/>
        <v>-4712250</v>
      </c>
      <c r="R18" s="76">
        <f t="shared" si="6"/>
        <v>5330428.8</v>
      </c>
      <c r="S18" s="76">
        <f t="shared" si="6"/>
        <v>1012250</v>
      </c>
      <c r="T18" s="76">
        <f t="shared" si="6"/>
        <v>0</v>
      </c>
      <c r="U18" s="76">
        <f t="shared" si="6"/>
        <v>-300000</v>
      </c>
      <c r="V18" s="76"/>
      <c r="W18" s="76"/>
      <c r="X18" s="76">
        <f>X19+X23+X32</f>
        <v>6042678.7999999998</v>
      </c>
      <c r="Y18" s="76"/>
      <c r="Z18" s="76">
        <f>Z19+Z23+Z32</f>
        <v>8203853.7999999998</v>
      </c>
      <c r="AA18" s="76"/>
      <c r="AB18" s="76"/>
      <c r="AC18" s="76"/>
      <c r="AD18" s="76">
        <f t="shared" si="4"/>
        <v>8203853.7999999998</v>
      </c>
      <c r="AE18" s="76">
        <f t="shared" ref="AE18:AN18" si="7">AE19+AE23+AE32</f>
        <v>8385077.0999999996</v>
      </c>
      <c r="AF18" s="76">
        <f t="shared" si="7"/>
        <v>48569.2</v>
      </c>
      <c r="AG18" s="76">
        <f t="shared" si="7"/>
        <v>-1862734</v>
      </c>
      <c r="AH18" s="76">
        <f t="shared" si="7"/>
        <v>6570912.2999999998</v>
      </c>
      <c r="AI18" s="75">
        <f t="shared" si="7"/>
        <v>6806512</v>
      </c>
      <c r="AJ18" s="75">
        <f t="shared" si="7"/>
        <v>8643465.5999999996</v>
      </c>
      <c r="AK18" s="97">
        <f t="shared" si="7"/>
        <v>8978875.8000000007</v>
      </c>
      <c r="AL18" s="73">
        <f t="shared" si="7"/>
        <v>8978875.8000000007</v>
      </c>
      <c r="AM18" s="97">
        <f t="shared" si="7"/>
        <v>300000</v>
      </c>
      <c r="AN18" s="97">
        <f t="shared" si="7"/>
        <v>9278875.8000000007</v>
      </c>
      <c r="AO18" s="97">
        <f>AO19+AO23+AO32+71000</f>
        <v>12515464.4</v>
      </c>
    </row>
    <row r="19" spans="1:42" s="2" customFormat="1" ht="10.199999999999999" x14ac:dyDescent="0.2">
      <c r="A19" s="3"/>
      <c r="B19" s="77" t="s">
        <v>306</v>
      </c>
      <c r="C19" s="76">
        <f>C20+C22</f>
        <v>92937702.799999997</v>
      </c>
      <c r="D19" s="76">
        <f t="shared" si="0"/>
        <v>7744808.5666666664</v>
      </c>
      <c r="E19" s="76">
        <f>E20+E22</f>
        <v>5262830</v>
      </c>
      <c r="F19" s="76">
        <f>F20+F22</f>
        <v>5891230</v>
      </c>
      <c r="G19" s="76">
        <f>G20+G22</f>
        <v>5172500</v>
      </c>
      <c r="H19" s="76">
        <f>H20+H22</f>
        <v>6977041</v>
      </c>
      <c r="I19" s="76">
        <f>I20+I22</f>
        <v>6977041</v>
      </c>
      <c r="J19" s="76"/>
      <c r="K19" s="76"/>
      <c r="L19" s="76">
        <f>L20+L22</f>
        <v>6977041</v>
      </c>
      <c r="M19" s="76">
        <f>M20+M22</f>
        <v>6024700</v>
      </c>
      <c r="N19" s="76">
        <f t="shared" si="1"/>
        <v>-952341</v>
      </c>
      <c r="O19" s="76">
        <f t="shared" si="2"/>
        <v>86.350359701197107</v>
      </c>
      <c r="P19" s="76">
        <f t="shared" ref="P19:U19" si="8">P20+P22</f>
        <v>6124546</v>
      </c>
      <c r="Q19" s="76">
        <f t="shared" si="8"/>
        <v>-1012250</v>
      </c>
      <c r="R19" s="76">
        <f t="shared" si="8"/>
        <v>5112296</v>
      </c>
      <c r="S19" s="76">
        <f t="shared" si="8"/>
        <v>1012250</v>
      </c>
      <c r="T19" s="76">
        <f t="shared" si="8"/>
        <v>0</v>
      </c>
      <c r="U19" s="76">
        <f t="shared" si="8"/>
        <v>-300000</v>
      </c>
      <c r="V19" s="76"/>
      <c r="W19" s="76"/>
      <c r="X19" s="76">
        <f>X20+X22</f>
        <v>5824546</v>
      </c>
      <c r="Y19" s="76"/>
      <c r="Z19" s="76">
        <f>Z20+Z22</f>
        <v>7488579</v>
      </c>
      <c r="AA19" s="76"/>
      <c r="AB19" s="76"/>
      <c r="AC19" s="76"/>
      <c r="AD19" s="76">
        <f t="shared" si="4"/>
        <v>7488579</v>
      </c>
      <c r="AE19" s="76">
        <f>AE20+AE22</f>
        <v>7259608</v>
      </c>
      <c r="AF19" s="76"/>
      <c r="AG19" s="76">
        <f t="shared" ref="AG19:AL19" si="9">AG20+AG22</f>
        <v>-952734</v>
      </c>
      <c r="AH19" s="76">
        <f t="shared" si="9"/>
        <v>6306874</v>
      </c>
      <c r="AI19" s="76">
        <f t="shared" si="9"/>
        <v>6460144</v>
      </c>
      <c r="AJ19" s="75">
        <f t="shared" si="9"/>
        <v>8205996.5</v>
      </c>
      <c r="AK19" s="97">
        <f t="shared" si="9"/>
        <v>8500438.9000000004</v>
      </c>
      <c r="AL19" s="73">
        <f t="shared" si="9"/>
        <v>8500438.9000000004</v>
      </c>
      <c r="AM19" s="97">
        <f t="shared" ref="AM19:AO19" si="10">AM20+AM22</f>
        <v>0</v>
      </c>
      <c r="AN19" s="97">
        <f t="shared" si="10"/>
        <v>8500438.9000000004</v>
      </c>
      <c r="AO19" s="97">
        <f t="shared" si="10"/>
        <v>8638808</v>
      </c>
    </row>
    <row r="20" spans="1:42" s="2" customFormat="1" ht="10.199999999999999" x14ac:dyDescent="0.2">
      <c r="A20" s="3"/>
      <c r="B20" s="72" t="s">
        <v>305</v>
      </c>
      <c r="C20" s="43">
        <v>60761602.799999997</v>
      </c>
      <c r="D20" s="43">
        <f t="shared" si="0"/>
        <v>5063466.8999999994</v>
      </c>
      <c r="E20" s="43">
        <v>3710800</v>
      </c>
      <c r="F20" s="43">
        <v>4075590</v>
      </c>
      <c r="G20" s="43">
        <v>2422400</v>
      </c>
      <c r="H20" s="43">
        <v>4728404</v>
      </c>
      <c r="I20" s="43">
        <v>4728404</v>
      </c>
      <c r="J20" s="43"/>
      <c r="K20" s="43"/>
      <c r="L20" s="43">
        <f t="shared" ref="L20:L31" si="11">I20</f>
        <v>4728404</v>
      </c>
      <c r="M20" s="43">
        <v>3629900</v>
      </c>
      <c r="N20" s="43">
        <f t="shared" si="1"/>
        <v>-1098504</v>
      </c>
      <c r="O20" s="43">
        <f t="shared" si="2"/>
        <v>76.767974986908911</v>
      </c>
      <c r="P20" s="43">
        <v>3958273</v>
      </c>
      <c r="Q20" s="43">
        <v>-1012250</v>
      </c>
      <c r="R20" s="43">
        <f t="shared" ref="R20:R50" si="12">SUM(P20:Q20)</f>
        <v>2946023</v>
      </c>
      <c r="S20" s="43">
        <v>1012250</v>
      </c>
      <c r="T20" s="43"/>
      <c r="U20" s="43">
        <v>-500000</v>
      </c>
      <c r="V20" s="43"/>
      <c r="W20" s="43"/>
      <c r="X20" s="43">
        <f>SUM(R20:U20)</f>
        <v>3458273</v>
      </c>
      <c r="Y20" s="43"/>
      <c r="Z20" s="43">
        <v>5102707</v>
      </c>
      <c r="AA20" s="43"/>
      <c r="AB20" s="43"/>
      <c r="AC20" s="43"/>
      <c r="AD20" s="43">
        <f t="shared" si="4"/>
        <v>5102707</v>
      </c>
      <c r="AE20" s="43">
        <v>4979919</v>
      </c>
      <c r="AF20" s="43"/>
      <c r="AG20" s="43">
        <v>-952734</v>
      </c>
      <c r="AH20" s="43">
        <f>AE20+AF20+AG20</f>
        <v>4027185</v>
      </c>
      <c r="AI20" s="71">
        <v>3810144</v>
      </c>
      <c r="AJ20" s="70">
        <v>5255996.5</v>
      </c>
      <c r="AK20" s="98">
        <v>5220438.9000000004</v>
      </c>
      <c r="AL20" s="12">
        <v>5220438.9000000004</v>
      </c>
      <c r="AM20" s="98"/>
      <c r="AN20" s="98">
        <v>5220438.9000000004</v>
      </c>
      <c r="AO20" s="98">
        <v>5218808</v>
      </c>
    </row>
    <row r="21" spans="1:42" s="2" customFormat="1" ht="10.199999999999999" x14ac:dyDescent="0.2">
      <c r="A21" s="3"/>
      <c r="B21" s="72" t="s">
        <v>304</v>
      </c>
      <c r="C21" s="43">
        <v>5363000</v>
      </c>
      <c r="D21" s="43">
        <f t="shared" si="0"/>
        <v>446916.66666666669</v>
      </c>
      <c r="E21" s="43">
        <v>409920</v>
      </c>
      <c r="F21" s="43">
        <v>248470</v>
      </c>
      <c r="G21" s="43">
        <v>475600</v>
      </c>
      <c r="H21" s="43">
        <v>429730</v>
      </c>
      <c r="I21" s="43">
        <v>429730</v>
      </c>
      <c r="J21" s="43"/>
      <c r="K21" s="43"/>
      <c r="L21" s="43">
        <f t="shared" si="11"/>
        <v>429730</v>
      </c>
      <c r="M21" s="43">
        <v>459700</v>
      </c>
      <c r="N21" s="43">
        <f t="shared" si="1"/>
        <v>29970</v>
      </c>
      <c r="O21" s="43">
        <f t="shared" si="2"/>
        <v>106.97414655714053</v>
      </c>
      <c r="P21" s="43">
        <v>161650</v>
      </c>
      <c r="Q21" s="43"/>
      <c r="R21" s="43">
        <f t="shared" si="12"/>
        <v>161650</v>
      </c>
      <c r="S21" s="43"/>
      <c r="T21" s="43"/>
      <c r="U21" s="43"/>
      <c r="V21" s="43"/>
      <c r="W21" s="43"/>
      <c r="X21" s="43">
        <f>SUM(R21:U21)</f>
        <v>161650</v>
      </c>
      <c r="Y21" s="43"/>
      <c r="Z21" s="43">
        <v>444530</v>
      </c>
      <c r="AA21" s="43"/>
      <c r="AB21" s="43"/>
      <c r="AC21" s="43"/>
      <c r="AD21" s="43">
        <f t="shared" si="4"/>
        <v>444530</v>
      </c>
      <c r="AE21" s="43">
        <v>191961</v>
      </c>
      <c r="AF21" s="43"/>
      <c r="AG21" s="43"/>
      <c r="AH21" s="43">
        <f>AE21+AF21</f>
        <v>191961</v>
      </c>
      <c r="AI21" s="71">
        <v>191958</v>
      </c>
      <c r="AJ21" s="70">
        <v>446661</v>
      </c>
      <c r="AK21" s="98">
        <v>444534</v>
      </c>
      <c r="AL21" s="12">
        <v>444534</v>
      </c>
      <c r="AM21" s="98"/>
      <c r="AN21" s="98">
        <v>444534</v>
      </c>
      <c r="AO21" s="98">
        <v>605000</v>
      </c>
    </row>
    <row r="22" spans="1:42" s="2" customFormat="1" ht="10.199999999999999" x14ac:dyDescent="0.2">
      <c r="A22" s="3"/>
      <c r="B22" s="72" t="s">
        <v>303</v>
      </c>
      <c r="C22" s="43">
        <v>32176100</v>
      </c>
      <c r="D22" s="43">
        <f t="shared" si="0"/>
        <v>2681341.6666666665</v>
      </c>
      <c r="E22" s="43">
        <v>1552030</v>
      </c>
      <c r="F22" s="43">
        <v>1815640</v>
      </c>
      <c r="G22" s="43">
        <v>2750100</v>
      </c>
      <c r="H22" s="43">
        <v>2248637</v>
      </c>
      <c r="I22" s="43">
        <v>2248637</v>
      </c>
      <c r="J22" s="43"/>
      <c r="K22" s="43"/>
      <c r="L22" s="43">
        <f t="shared" si="11"/>
        <v>2248637</v>
      </c>
      <c r="M22" s="43">
        <v>2394800</v>
      </c>
      <c r="N22" s="43">
        <f t="shared" si="1"/>
        <v>146163</v>
      </c>
      <c r="O22" s="43">
        <f t="shared" si="2"/>
        <v>106.50007093185782</v>
      </c>
      <c r="P22" s="43">
        <v>2166273</v>
      </c>
      <c r="Q22" s="43"/>
      <c r="R22" s="43">
        <f t="shared" si="12"/>
        <v>2166273</v>
      </c>
      <c r="S22" s="43"/>
      <c r="T22" s="43"/>
      <c r="U22" s="43">
        <v>200000</v>
      </c>
      <c r="V22" s="43"/>
      <c r="W22" s="43"/>
      <c r="X22" s="43">
        <f>SUM(R22:U22)</f>
        <v>2366273</v>
      </c>
      <c r="Y22" s="43"/>
      <c r="Z22" s="43">
        <v>2385872</v>
      </c>
      <c r="AA22" s="43"/>
      <c r="AB22" s="43"/>
      <c r="AC22" s="43"/>
      <c r="AD22" s="43">
        <f t="shared" si="4"/>
        <v>2385872</v>
      </c>
      <c r="AE22" s="43">
        <v>2279689</v>
      </c>
      <c r="AF22" s="43"/>
      <c r="AG22" s="43"/>
      <c r="AH22" s="43">
        <f>AE22+AF22</f>
        <v>2279689</v>
      </c>
      <c r="AI22" s="71">
        <v>2650000</v>
      </c>
      <c r="AJ22" s="70">
        <v>2950000</v>
      </c>
      <c r="AK22" s="98">
        <v>3280000</v>
      </c>
      <c r="AL22" s="12">
        <v>3280000</v>
      </c>
      <c r="AM22" s="98"/>
      <c r="AN22" s="98">
        <v>3280000</v>
      </c>
      <c r="AO22" s="98">
        <v>3420000</v>
      </c>
    </row>
    <row r="23" spans="1:42" s="2" customFormat="1" ht="10.199999999999999" x14ac:dyDescent="0.2">
      <c r="A23" s="3"/>
      <c r="B23" s="77" t="s">
        <v>302</v>
      </c>
      <c r="C23" s="76">
        <f>SUM(C24:C31)</f>
        <v>2593944</v>
      </c>
      <c r="D23" s="76">
        <f t="shared" si="0"/>
        <v>216162</v>
      </c>
      <c r="E23" s="76"/>
      <c r="F23" s="76">
        <f>SUM(F24:F31)</f>
        <v>3032930</v>
      </c>
      <c r="G23" s="76"/>
      <c r="H23" s="76"/>
      <c r="I23" s="76"/>
      <c r="J23" s="76"/>
      <c r="K23" s="76"/>
      <c r="L23" s="43">
        <f t="shared" si="11"/>
        <v>0</v>
      </c>
      <c r="M23" s="43"/>
      <c r="N23" s="43">
        <f t="shared" si="1"/>
        <v>0</v>
      </c>
      <c r="O23" s="43"/>
      <c r="P23" s="43"/>
      <c r="Q23" s="43"/>
      <c r="R23" s="43">
        <f t="shared" si="12"/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71"/>
      <c r="AJ23" s="70"/>
      <c r="AK23" s="98"/>
      <c r="AL23" s="12"/>
      <c r="AM23" s="98"/>
      <c r="AN23" s="98"/>
      <c r="AO23" s="73">
        <f>AO26+AO24+AO27+AO28</f>
        <v>3304801</v>
      </c>
    </row>
    <row r="24" spans="1:42" s="2" customFormat="1" ht="10.199999999999999" x14ac:dyDescent="0.2">
      <c r="A24" s="3"/>
      <c r="B24" s="72" t="s">
        <v>355</v>
      </c>
      <c r="C24" s="43">
        <v>1283040</v>
      </c>
      <c r="D24" s="43">
        <f t="shared" si="0"/>
        <v>106920</v>
      </c>
      <c r="E24" s="43"/>
      <c r="F24" s="43">
        <v>354400</v>
      </c>
      <c r="G24" s="43"/>
      <c r="H24" s="43"/>
      <c r="I24" s="43"/>
      <c r="J24" s="43"/>
      <c r="K24" s="43"/>
      <c r="L24" s="43">
        <f t="shared" si="11"/>
        <v>0</v>
      </c>
      <c r="M24" s="43"/>
      <c r="N24" s="43">
        <f t="shared" si="1"/>
        <v>0</v>
      </c>
      <c r="O24" s="43"/>
      <c r="P24" s="43"/>
      <c r="Q24" s="43"/>
      <c r="R24" s="43">
        <f t="shared" si="12"/>
        <v>0</v>
      </c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71"/>
      <c r="AJ24" s="70"/>
      <c r="AK24" s="98"/>
      <c r="AL24" s="12"/>
      <c r="AM24" s="98"/>
      <c r="AN24" s="98"/>
      <c r="AO24" s="98">
        <v>381400</v>
      </c>
    </row>
    <row r="25" spans="1:42" s="2" customFormat="1" ht="10.199999999999999" x14ac:dyDescent="0.2">
      <c r="A25" s="3"/>
      <c r="B25" s="72" t="s">
        <v>300</v>
      </c>
      <c r="C25" s="43"/>
      <c r="D25" s="43">
        <f t="shared" si="0"/>
        <v>0</v>
      </c>
      <c r="E25" s="43"/>
      <c r="F25" s="43"/>
      <c r="G25" s="43"/>
      <c r="H25" s="43"/>
      <c r="I25" s="43"/>
      <c r="J25" s="43"/>
      <c r="K25" s="43"/>
      <c r="L25" s="43">
        <f t="shared" si="11"/>
        <v>0</v>
      </c>
      <c r="M25" s="43"/>
      <c r="N25" s="43">
        <f t="shared" si="1"/>
        <v>0</v>
      </c>
      <c r="O25" s="43"/>
      <c r="P25" s="43"/>
      <c r="Q25" s="43"/>
      <c r="R25" s="43">
        <f t="shared" si="12"/>
        <v>0</v>
      </c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71"/>
      <c r="AJ25" s="70"/>
      <c r="AK25" s="98"/>
      <c r="AL25" s="12"/>
      <c r="AM25" s="98"/>
      <c r="AN25" s="98"/>
      <c r="AO25" s="112"/>
    </row>
    <row r="26" spans="1:42" s="2" customFormat="1" ht="10.199999999999999" x14ac:dyDescent="0.2">
      <c r="A26" s="3"/>
      <c r="B26" s="72" t="s">
        <v>299</v>
      </c>
      <c r="C26" s="43"/>
      <c r="D26" s="43"/>
      <c r="E26" s="43"/>
      <c r="F26" s="43">
        <v>409160</v>
      </c>
      <c r="G26" s="43"/>
      <c r="H26" s="43"/>
      <c r="I26" s="43"/>
      <c r="J26" s="43"/>
      <c r="K26" s="43"/>
      <c r="L26" s="43">
        <f t="shared" si="11"/>
        <v>0</v>
      </c>
      <c r="M26" s="43"/>
      <c r="N26" s="43">
        <f t="shared" si="1"/>
        <v>0</v>
      </c>
      <c r="O26" s="43"/>
      <c r="P26" s="43"/>
      <c r="Q26" s="43"/>
      <c r="R26" s="43">
        <f t="shared" si="12"/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71"/>
      <c r="AJ26" s="70"/>
      <c r="AK26" s="98"/>
      <c r="AL26" s="12"/>
      <c r="AM26" s="98"/>
      <c r="AN26" s="98"/>
      <c r="AO26" s="98">
        <v>409160</v>
      </c>
    </row>
    <row r="27" spans="1:42" s="2" customFormat="1" ht="10.199999999999999" x14ac:dyDescent="0.2">
      <c r="A27" s="3"/>
      <c r="B27" s="72" t="s">
        <v>298</v>
      </c>
      <c r="C27" s="43"/>
      <c r="D27" s="43"/>
      <c r="E27" s="43"/>
      <c r="F27" s="43">
        <v>2232140</v>
      </c>
      <c r="G27" s="43"/>
      <c r="H27" s="43"/>
      <c r="I27" s="43"/>
      <c r="J27" s="43"/>
      <c r="K27" s="43"/>
      <c r="L27" s="43">
        <f t="shared" si="11"/>
        <v>0</v>
      </c>
      <c r="M27" s="43"/>
      <c r="N27" s="43">
        <f t="shared" si="1"/>
        <v>0</v>
      </c>
      <c r="O27" s="43"/>
      <c r="P27" s="43"/>
      <c r="Q27" s="43"/>
      <c r="R27" s="43">
        <f t="shared" si="12"/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71"/>
      <c r="AJ27" s="70"/>
      <c r="AK27" s="98"/>
      <c r="AL27" s="12"/>
      <c r="AM27" s="98"/>
      <c r="AN27" s="98"/>
      <c r="AO27" s="98">
        <v>2232141</v>
      </c>
    </row>
    <row r="28" spans="1:42" s="2" customFormat="1" ht="10.199999999999999" x14ac:dyDescent="0.2">
      <c r="A28" s="3"/>
      <c r="B28" s="72" t="s">
        <v>297</v>
      </c>
      <c r="C28" s="43">
        <v>611064</v>
      </c>
      <c r="D28" s="43">
        <f>C28/12</f>
        <v>50922</v>
      </c>
      <c r="E28" s="43"/>
      <c r="F28" s="43">
        <v>37230</v>
      </c>
      <c r="G28" s="43"/>
      <c r="H28" s="43"/>
      <c r="I28" s="43"/>
      <c r="J28" s="43"/>
      <c r="K28" s="43"/>
      <c r="L28" s="43">
        <f t="shared" si="11"/>
        <v>0</v>
      </c>
      <c r="M28" s="43"/>
      <c r="N28" s="43">
        <f t="shared" si="1"/>
        <v>0</v>
      </c>
      <c r="O28" s="43"/>
      <c r="P28" s="43"/>
      <c r="Q28" s="43"/>
      <c r="R28" s="43">
        <f t="shared" si="12"/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71"/>
      <c r="AJ28" s="70"/>
      <c r="AK28" s="98"/>
      <c r="AL28" s="12"/>
      <c r="AM28" s="98"/>
      <c r="AN28" s="98"/>
      <c r="AO28" s="98">
        <v>282100</v>
      </c>
    </row>
    <row r="29" spans="1:42" s="2" customFormat="1" ht="10.199999999999999" x14ac:dyDescent="0.2">
      <c r="A29" s="3"/>
      <c r="B29" s="72" t="s">
        <v>296</v>
      </c>
      <c r="C29" s="43"/>
      <c r="D29" s="43">
        <f>C29/12</f>
        <v>0</v>
      </c>
      <c r="E29" s="43"/>
      <c r="F29" s="43"/>
      <c r="G29" s="43"/>
      <c r="H29" s="43"/>
      <c r="I29" s="43"/>
      <c r="J29" s="43"/>
      <c r="K29" s="43"/>
      <c r="L29" s="43">
        <f t="shared" si="11"/>
        <v>0</v>
      </c>
      <c r="M29" s="43"/>
      <c r="N29" s="43">
        <f t="shared" si="1"/>
        <v>0</v>
      </c>
      <c r="O29" s="43"/>
      <c r="P29" s="43"/>
      <c r="Q29" s="43"/>
      <c r="R29" s="43">
        <f t="shared" si="12"/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71"/>
      <c r="AJ29" s="70"/>
      <c r="AK29" s="98"/>
      <c r="AL29" s="12"/>
      <c r="AM29" s="98"/>
      <c r="AN29" s="98"/>
      <c r="AO29" s="112"/>
    </row>
    <row r="30" spans="1:42" s="2" customFormat="1" ht="20.399999999999999" x14ac:dyDescent="0.2">
      <c r="A30" s="3"/>
      <c r="B30" s="72" t="s">
        <v>295</v>
      </c>
      <c r="C30" s="43">
        <v>699840</v>
      </c>
      <c r="D30" s="43">
        <f>C30/12</f>
        <v>58320</v>
      </c>
      <c r="E30" s="43"/>
      <c r="F30" s="43"/>
      <c r="G30" s="43"/>
      <c r="H30" s="43"/>
      <c r="I30" s="43"/>
      <c r="J30" s="43"/>
      <c r="K30" s="43"/>
      <c r="L30" s="43">
        <f t="shared" si="11"/>
        <v>0</v>
      </c>
      <c r="M30" s="43"/>
      <c r="N30" s="43">
        <f t="shared" si="1"/>
        <v>0</v>
      </c>
      <c r="O30" s="43"/>
      <c r="P30" s="43"/>
      <c r="Q30" s="43"/>
      <c r="R30" s="43">
        <f t="shared" si="12"/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71"/>
      <c r="AJ30" s="70"/>
      <c r="AK30" s="98"/>
      <c r="AL30" s="12"/>
      <c r="AM30" s="98"/>
      <c r="AN30" s="98"/>
      <c r="AO30" s="112"/>
    </row>
    <row r="31" spans="1:42" s="2" customFormat="1" ht="20.399999999999999" x14ac:dyDescent="0.2">
      <c r="A31" s="3"/>
      <c r="B31" s="72" t="s">
        <v>294</v>
      </c>
      <c r="C31" s="43"/>
      <c r="D31" s="43"/>
      <c r="E31" s="43"/>
      <c r="F31" s="43"/>
      <c r="G31" s="43"/>
      <c r="H31" s="43"/>
      <c r="I31" s="43"/>
      <c r="J31" s="43"/>
      <c r="K31" s="43"/>
      <c r="L31" s="43">
        <f t="shared" si="11"/>
        <v>0</v>
      </c>
      <c r="M31" s="43"/>
      <c r="N31" s="43">
        <f t="shared" si="1"/>
        <v>0</v>
      </c>
      <c r="O31" s="43"/>
      <c r="P31" s="43"/>
      <c r="Q31" s="43"/>
      <c r="R31" s="43">
        <f t="shared" si="12"/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71"/>
      <c r="AJ31" s="70"/>
      <c r="AK31" s="98"/>
      <c r="AL31" s="12"/>
      <c r="AM31" s="98"/>
      <c r="AN31" s="98"/>
      <c r="AO31" s="112"/>
    </row>
    <row r="32" spans="1:42" s="2" customFormat="1" ht="10.199999999999999" x14ac:dyDescent="0.2">
      <c r="A32" s="3"/>
      <c r="B32" s="77" t="s">
        <v>293</v>
      </c>
      <c r="C32" s="76">
        <f>19832345-10015988.7</f>
        <v>9816356.3000000007</v>
      </c>
      <c r="D32" s="76">
        <f>C32/12</f>
        <v>818029.69166666677</v>
      </c>
      <c r="E32" s="76">
        <v>400890</v>
      </c>
      <c r="F32" s="76">
        <v>264030</v>
      </c>
      <c r="G32" s="76">
        <v>1628500</v>
      </c>
      <c r="H32" s="76">
        <f>1338665-1062741.3</f>
        <v>275923.69999999995</v>
      </c>
      <c r="I32" s="76">
        <v>275923.7</v>
      </c>
      <c r="J32" s="76"/>
      <c r="K32" s="76"/>
      <c r="L32" s="76">
        <f>I32+L34</f>
        <v>3975923.7</v>
      </c>
      <c r="M32" s="76">
        <v>4651300</v>
      </c>
      <c r="N32" s="76">
        <f t="shared" si="1"/>
        <v>675376.29999999981</v>
      </c>
      <c r="O32" s="76">
        <f>M32/L32*100</f>
        <v>116.9866514289497</v>
      </c>
      <c r="P32" s="76">
        <f>4715671.8-797539</f>
        <v>3918132.8</v>
      </c>
      <c r="Q32" s="76">
        <v>-3700000</v>
      </c>
      <c r="R32" s="76">
        <f t="shared" si="12"/>
        <v>218132.79999999981</v>
      </c>
      <c r="S32" s="76"/>
      <c r="T32" s="76"/>
      <c r="U32" s="76"/>
      <c r="V32" s="76"/>
      <c r="W32" s="76"/>
      <c r="X32" s="76">
        <f t="shared" ref="X32:X42" si="13">SUM(R32:U32)</f>
        <v>218132.79999999981</v>
      </c>
      <c r="Y32" s="76"/>
      <c r="Z32" s="76">
        <f>1512813.8-797539</f>
        <v>715274.8</v>
      </c>
      <c r="AA32" s="76"/>
      <c r="AB32" s="76"/>
      <c r="AC32" s="76"/>
      <c r="AD32" s="76">
        <f t="shared" ref="AD32:AD42" si="14">SUM(Z32:AB32)</f>
        <v>715274.8</v>
      </c>
      <c r="AE32" s="76">
        <f>1947175.3-821706.2</f>
        <v>1125469.1000000001</v>
      </c>
      <c r="AF32" s="76">
        <f>AF36</f>
        <v>48569.2</v>
      </c>
      <c r="AG32" s="76">
        <v>-910000</v>
      </c>
      <c r="AH32" s="76">
        <f>AE32+AF32+AG32</f>
        <v>264038.30000000005</v>
      </c>
      <c r="AI32" s="75">
        <v>346368</v>
      </c>
      <c r="AJ32" s="75">
        <v>437469.1</v>
      </c>
      <c r="AK32" s="97">
        <f>1272747.9-794311</f>
        <v>478436.89999999991</v>
      </c>
      <c r="AL32" s="73">
        <f>1272747.9-794311</f>
        <v>478436.89999999991</v>
      </c>
      <c r="AM32" s="97">
        <v>300000</v>
      </c>
      <c r="AN32" s="97">
        <f>1272747.9-794311+AM32</f>
        <v>778436.89999999991</v>
      </c>
      <c r="AO32" s="73">
        <v>500855.4</v>
      </c>
      <c r="AP32" s="92"/>
    </row>
    <row r="33" spans="1:41" s="2" customFormat="1" ht="20.399999999999999" x14ac:dyDescent="0.2">
      <c r="A33" s="3"/>
      <c r="B33" s="72" t="s">
        <v>292</v>
      </c>
      <c r="C33" s="43">
        <v>1550838.9</v>
      </c>
      <c r="D33" s="43">
        <f>C33/12</f>
        <v>129236.575</v>
      </c>
      <c r="E33" s="43">
        <v>11000</v>
      </c>
      <c r="F33" s="43">
        <v>500</v>
      </c>
      <c r="G33" s="43"/>
      <c r="H33" s="43"/>
      <c r="I33" s="43"/>
      <c r="J33" s="43"/>
      <c r="K33" s="43"/>
      <c r="L33" s="43">
        <f>I33</f>
        <v>0</v>
      </c>
      <c r="M33" s="43">
        <v>51500</v>
      </c>
      <c r="N33" s="43">
        <f t="shared" si="1"/>
        <v>51500</v>
      </c>
      <c r="O33" s="43"/>
      <c r="P33" s="43"/>
      <c r="Q33" s="43"/>
      <c r="R33" s="43">
        <f t="shared" si="12"/>
        <v>0</v>
      </c>
      <c r="S33" s="43"/>
      <c r="T33" s="43"/>
      <c r="U33" s="43"/>
      <c r="V33" s="43"/>
      <c r="W33" s="43"/>
      <c r="X33" s="43">
        <f t="shared" si="13"/>
        <v>0</v>
      </c>
      <c r="Y33" s="43"/>
      <c r="Z33" s="43">
        <v>500000</v>
      </c>
      <c r="AA33" s="43"/>
      <c r="AB33" s="43"/>
      <c r="AC33" s="43"/>
      <c r="AD33" s="43">
        <f t="shared" si="14"/>
        <v>500000</v>
      </c>
      <c r="AE33" s="43"/>
      <c r="AF33" s="43"/>
      <c r="AG33" s="43"/>
      <c r="AH33" s="43">
        <f t="shared" ref="AH33:AH39" si="15">AE33+AF33</f>
        <v>0</v>
      </c>
      <c r="AI33" s="71">
        <v>172600</v>
      </c>
      <c r="AJ33" s="93">
        <v>183600</v>
      </c>
      <c r="AK33" s="99">
        <v>183638.9</v>
      </c>
      <c r="AL33" s="39">
        <v>183638.9</v>
      </c>
      <c r="AM33" s="99"/>
      <c r="AN33" s="99">
        <v>183638.9</v>
      </c>
      <c r="AO33" s="99">
        <v>213532</v>
      </c>
    </row>
    <row r="34" spans="1:41" s="2" customFormat="1" ht="10.199999999999999" x14ac:dyDescent="0.2">
      <c r="A34" s="3"/>
      <c r="B34" s="72" t="s">
        <v>291</v>
      </c>
      <c r="C34" s="43">
        <v>3700000</v>
      </c>
      <c r="D34" s="43">
        <f>C34/12</f>
        <v>308333.33333333331</v>
      </c>
      <c r="E34" s="43"/>
      <c r="F34" s="43"/>
      <c r="G34" s="43"/>
      <c r="H34" s="43"/>
      <c r="I34" s="43"/>
      <c r="J34" s="43"/>
      <c r="K34" s="43"/>
      <c r="L34" s="43">
        <v>3700000</v>
      </c>
      <c r="M34" s="43">
        <v>4579800</v>
      </c>
      <c r="N34" s="43">
        <f t="shared" si="1"/>
        <v>879800</v>
      </c>
      <c r="O34" s="43">
        <f>M34/L34*100</f>
        <v>123.77837837837838</v>
      </c>
      <c r="P34" s="43">
        <v>3700000</v>
      </c>
      <c r="Q34" s="43">
        <v>-3700000</v>
      </c>
      <c r="R34" s="43">
        <f t="shared" si="12"/>
        <v>0</v>
      </c>
      <c r="S34" s="43"/>
      <c r="T34" s="43"/>
      <c r="U34" s="43"/>
      <c r="V34" s="43"/>
      <c r="W34" s="43"/>
      <c r="X34" s="43">
        <f t="shared" si="13"/>
        <v>0</v>
      </c>
      <c r="Y34" s="43"/>
      <c r="Z34" s="43"/>
      <c r="AA34" s="43"/>
      <c r="AB34" s="43"/>
      <c r="AC34" s="43"/>
      <c r="AD34" s="43">
        <f t="shared" si="14"/>
        <v>0</v>
      </c>
      <c r="AE34" s="43">
        <f>SUM(Y34:AB34)</f>
        <v>0</v>
      </c>
      <c r="AF34" s="43"/>
      <c r="AG34" s="43"/>
      <c r="AH34" s="43">
        <f t="shared" si="15"/>
        <v>0</v>
      </c>
      <c r="AI34" s="71"/>
      <c r="AJ34" s="70">
        <v>0</v>
      </c>
      <c r="AK34" s="98">
        <v>0</v>
      </c>
      <c r="AL34" s="12">
        <v>0</v>
      </c>
      <c r="AM34" s="98">
        <v>0</v>
      </c>
      <c r="AN34" s="98">
        <v>0</v>
      </c>
      <c r="AO34" s="112"/>
    </row>
    <row r="35" spans="1:41" s="2" customFormat="1" ht="10.199999999999999" x14ac:dyDescent="0.2">
      <c r="A35" s="3"/>
      <c r="B35" s="72" t="s">
        <v>290</v>
      </c>
      <c r="C35" s="43">
        <v>506603.6</v>
      </c>
      <c r="D35" s="43">
        <f>C35/12</f>
        <v>42216.966666666667</v>
      </c>
      <c r="E35" s="43">
        <v>17990</v>
      </c>
      <c r="F35" s="43">
        <v>7160</v>
      </c>
      <c r="G35" s="43">
        <v>24600</v>
      </c>
      <c r="H35" s="43"/>
      <c r="I35" s="43"/>
      <c r="J35" s="43"/>
      <c r="K35" s="43"/>
      <c r="L35" s="43">
        <f t="shared" ref="L35:L50" si="16">I35</f>
        <v>0</v>
      </c>
      <c r="M35" s="43">
        <v>8600</v>
      </c>
      <c r="N35" s="43">
        <f t="shared" si="1"/>
        <v>8600</v>
      </c>
      <c r="O35" s="43"/>
      <c r="P35" s="43">
        <v>17000</v>
      </c>
      <c r="Q35" s="43"/>
      <c r="R35" s="43">
        <f t="shared" si="12"/>
        <v>17000</v>
      </c>
      <c r="S35" s="43"/>
      <c r="T35" s="43"/>
      <c r="U35" s="43"/>
      <c r="V35" s="43"/>
      <c r="W35" s="43"/>
      <c r="X35" s="43">
        <f t="shared" si="13"/>
        <v>17000</v>
      </c>
      <c r="Y35" s="43"/>
      <c r="Z35" s="43">
        <v>17000</v>
      </c>
      <c r="AA35" s="43"/>
      <c r="AB35" s="43"/>
      <c r="AC35" s="43"/>
      <c r="AD35" s="43">
        <f t="shared" si="14"/>
        <v>17000</v>
      </c>
      <c r="AE35" s="43">
        <v>17000</v>
      </c>
      <c r="AF35" s="43"/>
      <c r="AG35" s="43"/>
      <c r="AH35" s="43">
        <f t="shared" si="15"/>
        <v>17000</v>
      </c>
      <c r="AI35" s="71">
        <v>50000</v>
      </c>
      <c r="AJ35" s="70">
        <v>50000</v>
      </c>
      <c r="AK35" s="98">
        <v>50000</v>
      </c>
      <c r="AL35" s="12">
        <v>50000</v>
      </c>
      <c r="AM35" s="98"/>
      <c r="AN35" s="98">
        <v>50000</v>
      </c>
      <c r="AO35" s="98">
        <v>101800</v>
      </c>
    </row>
    <row r="36" spans="1:41" s="2" customFormat="1" ht="20.399999999999999" x14ac:dyDescent="0.2">
      <c r="A36" s="3"/>
      <c r="B36" s="72" t="s">
        <v>289</v>
      </c>
      <c r="C36" s="43">
        <v>1095408.8</v>
      </c>
      <c r="D36" s="43">
        <f>C36/12</f>
        <v>91284.066666666666</v>
      </c>
      <c r="E36" s="43">
        <v>110730</v>
      </c>
      <c r="F36" s="43">
        <v>105460</v>
      </c>
      <c r="G36" s="43">
        <v>48400</v>
      </c>
      <c r="H36" s="43">
        <v>79976.7</v>
      </c>
      <c r="I36" s="43">
        <v>79976.7</v>
      </c>
      <c r="J36" s="43"/>
      <c r="K36" s="43"/>
      <c r="L36" s="43">
        <f t="shared" si="16"/>
        <v>79976.7</v>
      </c>
      <c r="M36" s="43">
        <v>103200</v>
      </c>
      <c r="N36" s="43">
        <f t="shared" si="1"/>
        <v>23223.300000000003</v>
      </c>
      <c r="O36" s="43">
        <f>M36/L36*100</f>
        <v>129.03758219581454</v>
      </c>
      <c r="P36" s="43">
        <v>92312.8</v>
      </c>
      <c r="Q36" s="43"/>
      <c r="R36" s="43">
        <f t="shared" si="12"/>
        <v>92312.8</v>
      </c>
      <c r="S36" s="43"/>
      <c r="T36" s="43"/>
      <c r="U36" s="43"/>
      <c r="V36" s="43"/>
      <c r="W36" s="43"/>
      <c r="X36" s="43">
        <f t="shared" si="13"/>
        <v>92312.8</v>
      </c>
      <c r="Y36" s="43"/>
      <c r="Z36" s="43">
        <v>84430.8</v>
      </c>
      <c r="AA36" s="43"/>
      <c r="AB36" s="43"/>
      <c r="AC36" s="43"/>
      <c r="AD36" s="43">
        <f t="shared" si="14"/>
        <v>84430.8</v>
      </c>
      <c r="AE36" s="43">
        <v>81254.100000000006</v>
      </c>
      <c r="AF36" s="43">
        <f>129823.3-AE36</f>
        <v>48569.2</v>
      </c>
      <c r="AG36" s="43"/>
      <c r="AH36" s="43">
        <f t="shared" si="15"/>
        <v>129823.3</v>
      </c>
      <c r="AI36" s="71">
        <v>25000</v>
      </c>
      <c r="AJ36" s="70">
        <v>71576.100000000006</v>
      </c>
      <c r="AK36" s="98">
        <v>94959</v>
      </c>
      <c r="AL36" s="12">
        <v>94959</v>
      </c>
      <c r="AM36" s="98"/>
      <c r="AN36" s="98">
        <v>94959</v>
      </c>
      <c r="AO36" s="98">
        <v>6957.2</v>
      </c>
    </row>
    <row r="37" spans="1:41" s="2" customFormat="1" ht="10.199999999999999" x14ac:dyDescent="0.2">
      <c r="A37" s="3"/>
      <c r="B37" s="77" t="s">
        <v>288</v>
      </c>
      <c r="C37" s="76"/>
      <c r="D37" s="43"/>
      <c r="E37" s="76">
        <v>340</v>
      </c>
      <c r="F37" s="76"/>
      <c r="G37" s="76"/>
      <c r="H37" s="76"/>
      <c r="I37" s="76"/>
      <c r="J37" s="76"/>
      <c r="K37" s="76"/>
      <c r="L37" s="43">
        <f t="shared" si="16"/>
        <v>0</v>
      </c>
      <c r="M37" s="43"/>
      <c r="N37" s="43">
        <f t="shared" si="1"/>
        <v>0</v>
      </c>
      <c r="O37" s="43"/>
      <c r="P37" s="43"/>
      <c r="Q37" s="43"/>
      <c r="R37" s="43">
        <f t="shared" si="12"/>
        <v>0</v>
      </c>
      <c r="S37" s="43"/>
      <c r="T37" s="43"/>
      <c r="U37" s="43"/>
      <c r="V37" s="43"/>
      <c r="W37" s="43"/>
      <c r="X37" s="43">
        <f t="shared" si="13"/>
        <v>0</v>
      </c>
      <c r="Y37" s="43"/>
      <c r="Z37" s="43"/>
      <c r="AA37" s="43"/>
      <c r="AB37" s="43"/>
      <c r="AC37" s="43"/>
      <c r="AD37" s="43">
        <f t="shared" si="14"/>
        <v>0</v>
      </c>
      <c r="AE37" s="43">
        <f>SUM(Y37:AB37)</f>
        <v>0</v>
      </c>
      <c r="AF37" s="43"/>
      <c r="AG37" s="43"/>
      <c r="AH37" s="43">
        <f t="shared" si="15"/>
        <v>0</v>
      </c>
      <c r="AI37" s="71"/>
      <c r="AJ37" s="70">
        <v>0</v>
      </c>
      <c r="AK37" s="98">
        <v>0</v>
      </c>
      <c r="AL37" s="12">
        <v>0</v>
      </c>
      <c r="AM37" s="98">
        <v>0</v>
      </c>
      <c r="AN37" s="98">
        <v>0</v>
      </c>
      <c r="AO37" s="112"/>
    </row>
    <row r="38" spans="1:41" s="2" customFormat="1" ht="10.199999999999999" x14ac:dyDescent="0.2">
      <c r="A38" s="3"/>
      <c r="B38" s="77" t="s">
        <v>287</v>
      </c>
      <c r="C38" s="76">
        <v>4588365.4000000004</v>
      </c>
      <c r="D38" s="76">
        <f t="shared" ref="D38:D44" si="17">C38/12</f>
        <v>382363.78333333338</v>
      </c>
      <c r="E38" s="76">
        <v>258960</v>
      </c>
      <c r="F38" s="76">
        <v>310980</v>
      </c>
      <c r="G38" s="76">
        <v>191900</v>
      </c>
      <c r="H38" s="76">
        <v>237700</v>
      </c>
      <c r="I38" s="76">
        <v>237700</v>
      </c>
      <c r="J38" s="76"/>
      <c r="K38" s="76"/>
      <c r="L38" s="76">
        <f t="shared" si="16"/>
        <v>237700</v>
      </c>
      <c r="M38" s="76">
        <v>436500</v>
      </c>
      <c r="N38" s="76">
        <f t="shared" si="1"/>
        <v>198800</v>
      </c>
      <c r="O38" s="76">
        <f>M38/L38*100</f>
        <v>183.6348338241481</v>
      </c>
      <c r="P38" s="76">
        <v>121469.2</v>
      </c>
      <c r="Q38" s="76"/>
      <c r="R38" s="76">
        <f t="shared" si="12"/>
        <v>121469.2</v>
      </c>
      <c r="S38" s="76"/>
      <c r="T38" s="76">
        <f>T39</f>
        <v>133260</v>
      </c>
      <c r="U38" s="76">
        <f>U39</f>
        <v>-133260</v>
      </c>
      <c r="V38" s="76"/>
      <c r="W38" s="76"/>
      <c r="X38" s="76">
        <f t="shared" si="13"/>
        <v>121469.20000000001</v>
      </c>
      <c r="Y38" s="76"/>
      <c r="Z38" s="76">
        <v>132977.9</v>
      </c>
      <c r="AA38" s="76"/>
      <c r="AB38" s="76"/>
      <c r="AC38" s="76"/>
      <c r="AD38" s="76">
        <f t="shared" si="14"/>
        <v>132977.9</v>
      </c>
      <c r="AE38" s="76">
        <f>AE39</f>
        <v>149607.70000000001</v>
      </c>
      <c r="AF38" s="76">
        <f>AF39</f>
        <v>9022.0999999999767</v>
      </c>
      <c r="AG38" s="76"/>
      <c r="AH38" s="76">
        <f t="shared" si="15"/>
        <v>158629.79999999999</v>
      </c>
      <c r="AI38" s="75">
        <v>71300</v>
      </c>
      <c r="AJ38" s="75">
        <v>43595</v>
      </c>
      <c r="AK38" s="74">
        <v>108270.6</v>
      </c>
      <c r="AL38" s="73">
        <v>108270.6</v>
      </c>
      <c r="AM38" s="74"/>
      <c r="AN38" s="74">
        <v>108270.6</v>
      </c>
      <c r="AO38" s="73">
        <f>AO39</f>
        <v>470900</v>
      </c>
    </row>
    <row r="39" spans="1:41" s="2" customFormat="1" ht="20.399999999999999" x14ac:dyDescent="0.2">
      <c r="A39" s="3"/>
      <c r="B39" s="72" t="s">
        <v>286</v>
      </c>
      <c r="C39" s="43">
        <v>1431802.8</v>
      </c>
      <c r="D39" s="43">
        <f t="shared" si="17"/>
        <v>119316.90000000001</v>
      </c>
      <c r="E39" s="43">
        <v>258960</v>
      </c>
      <c r="F39" s="43">
        <v>229850</v>
      </c>
      <c r="G39" s="43">
        <v>191900</v>
      </c>
      <c r="H39" s="43">
        <v>237700</v>
      </c>
      <c r="I39" s="43">
        <v>237700</v>
      </c>
      <c r="J39" s="43"/>
      <c r="K39" s="43"/>
      <c r="L39" s="43">
        <f t="shared" si="16"/>
        <v>237700</v>
      </c>
      <c r="M39" s="43">
        <v>436500</v>
      </c>
      <c r="N39" s="43">
        <f t="shared" si="1"/>
        <v>198800</v>
      </c>
      <c r="O39" s="43">
        <f>M39/L39*100</f>
        <v>183.6348338241481</v>
      </c>
      <c r="P39" s="43">
        <v>121469.2</v>
      </c>
      <c r="Q39" s="43"/>
      <c r="R39" s="43">
        <f t="shared" si="12"/>
        <v>121469.2</v>
      </c>
      <c r="S39" s="43"/>
      <c r="T39" s="43">
        <v>133260</v>
      </c>
      <c r="U39" s="43">
        <v>-133260</v>
      </c>
      <c r="V39" s="43"/>
      <c r="W39" s="43"/>
      <c r="X39" s="43">
        <f t="shared" si="13"/>
        <v>121469.20000000001</v>
      </c>
      <c r="Y39" s="43"/>
      <c r="Z39" s="43">
        <v>132977.9</v>
      </c>
      <c r="AA39" s="43"/>
      <c r="AB39" s="43"/>
      <c r="AC39" s="43"/>
      <c r="AD39" s="43">
        <f t="shared" si="14"/>
        <v>132977.9</v>
      </c>
      <c r="AE39" s="43">
        <v>149607.70000000001</v>
      </c>
      <c r="AF39" s="43">
        <f>158629.8-AE39</f>
        <v>9022.0999999999767</v>
      </c>
      <c r="AG39" s="43"/>
      <c r="AH39" s="43">
        <f t="shared" si="15"/>
        <v>158629.79999999999</v>
      </c>
      <c r="AI39" s="71">
        <v>71300</v>
      </c>
      <c r="AJ39" s="70">
        <v>43595</v>
      </c>
      <c r="AK39" s="100">
        <v>108270.6</v>
      </c>
      <c r="AL39" s="12">
        <v>108270.6</v>
      </c>
      <c r="AM39" s="100"/>
      <c r="AN39" s="100">
        <v>108270.6</v>
      </c>
      <c r="AO39" s="100">
        <v>470900</v>
      </c>
    </row>
    <row r="40" spans="1:41" s="2" customFormat="1" ht="10.199999999999999" x14ac:dyDescent="0.2">
      <c r="A40" s="3"/>
      <c r="B40" s="77" t="s">
        <v>285</v>
      </c>
      <c r="C40" s="76">
        <f>SUM(C41:C43)</f>
        <v>12647080</v>
      </c>
      <c r="D40" s="76">
        <f t="shared" si="17"/>
        <v>1053923.3333333333</v>
      </c>
      <c r="E40" s="76">
        <v>455750</v>
      </c>
      <c r="F40" s="76">
        <v>420490</v>
      </c>
      <c r="G40" s="76">
        <v>585600</v>
      </c>
      <c r="H40" s="76">
        <f>SUM(H41:H43)</f>
        <v>749908.3</v>
      </c>
      <c r="I40" s="76">
        <v>500000</v>
      </c>
      <c r="J40" s="76"/>
      <c r="K40" s="76"/>
      <c r="L40" s="76">
        <f t="shared" si="16"/>
        <v>500000</v>
      </c>
      <c r="M40" s="76">
        <v>660200</v>
      </c>
      <c r="N40" s="76">
        <f t="shared" si="1"/>
        <v>160200</v>
      </c>
      <c r="O40" s="76">
        <f>M40/L40*100</f>
        <v>132.04</v>
      </c>
      <c r="P40" s="76">
        <f>2858714.5-2108715.5</f>
        <v>749999</v>
      </c>
      <c r="Q40" s="76"/>
      <c r="R40" s="76">
        <f t="shared" si="12"/>
        <v>749999</v>
      </c>
      <c r="S40" s="76"/>
      <c r="T40" s="76">
        <v>483760</v>
      </c>
      <c r="U40" s="76">
        <v>-483760</v>
      </c>
      <c r="V40" s="76"/>
      <c r="W40" s="76"/>
      <c r="X40" s="76">
        <f t="shared" si="13"/>
        <v>749999</v>
      </c>
      <c r="Y40" s="76"/>
      <c r="Z40" s="76">
        <f>SUM(Z41:Z42)</f>
        <v>1000000</v>
      </c>
      <c r="AA40" s="76"/>
      <c r="AB40" s="76"/>
      <c r="AC40" s="76"/>
      <c r="AD40" s="76">
        <f t="shared" si="14"/>
        <v>1000000</v>
      </c>
      <c r="AE40" s="76">
        <f>SUM(AE41:AE42)+AE43</f>
        <v>1592401</v>
      </c>
      <c r="AF40" s="76"/>
      <c r="AG40" s="76">
        <v>310699</v>
      </c>
      <c r="AH40" s="76">
        <f>AE40+AF40+AG40</f>
        <v>1903100</v>
      </c>
      <c r="AI40" s="75">
        <f>AI41+AI42</f>
        <v>4652079.8</v>
      </c>
      <c r="AJ40" s="75">
        <f>AJ41+AJ42</f>
        <v>1349666.4849999999</v>
      </c>
      <c r="AK40" s="74">
        <f>AK41+AK42+AK43</f>
        <v>749121.2</v>
      </c>
      <c r="AL40" s="73">
        <f>AL41+AL42+AL43</f>
        <v>749121.2</v>
      </c>
      <c r="AM40" s="74">
        <v>160660.1</v>
      </c>
      <c r="AN40" s="74">
        <f>AN41+AN42+AN43+AM40</f>
        <v>909781.29999999993</v>
      </c>
      <c r="AO40" s="73">
        <f>AO41+AO42+AO43</f>
        <v>1585374.7</v>
      </c>
    </row>
    <row r="41" spans="1:41" s="2" customFormat="1" ht="20.399999999999999" x14ac:dyDescent="0.2">
      <c r="A41" s="3"/>
      <c r="B41" s="72" t="s">
        <v>284</v>
      </c>
      <c r="C41" s="43">
        <v>4000000</v>
      </c>
      <c r="D41" s="43">
        <f t="shared" si="17"/>
        <v>333333.33333333331</v>
      </c>
      <c r="E41" s="43"/>
      <c r="F41" s="43"/>
      <c r="G41" s="43"/>
      <c r="H41" s="43">
        <v>338899.3</v>
      </c>
      <c r="I41" s="43">
        <v>200000</v>
      </c>
      <c r="J41" s="43"/>
      <c r="K41" s="43"/>
      <c r="L41" s="43">
        <f t="shared" si="16"/>
        <v>200000</v>
      </c>
      <c r="M41" s="43"/>
      <c r="N41" s="43"/>
      <c r="O41" s="43">
        <f>M41/L41*100</f>
        <v>0</v>
      </c>
      <c r="P41" s="43">
        <v>333333</v>
      </c>
      <c r="Q41" s="43"/>
      <c r="R41" s="43">
        <f t="shared" si="12"/>
        <v>333333</v>
      </c>
      <c r="S41" s="43"/>
      <c r="T41" s="43"/>
      <c r="U41" s="43"/>
      <c r="V41" s="43"/>
      <c r="W41" s="43"/>
      <c r="X41" s="43">
        <f t="shared" si="13"/>
        <v>333333</v>
      </c>
      <c r="Y41" s="43"/>
      <c r="Z41" s="43">
        <v>634053.6</v>
      </c>
      <c r="AA41" s="43"/>
      <c r="AB41" s="43"/>
      <c r="AC41" s="43"/>
      <c r="AD41" s="43">
        <f t="shared" si="14"/>
        <v>634053.6</v>
      </c>
      <c r="AE41" s="43">
        <v>333333</v>
      </c>
      <c r="AF41" s="43"/>
      <c r="AG41" s="43">
        <v>310699</v>
      </c>
      <c r="AH41" s="43">
        <f>AE41+AF41+AG41</f>
        <v>644032</v>
      </c>
      <c r="AI41" s="71">
        <v>699389.7</v>
      </c>
      <c r="AJ41" s="70">
        <v>521493.08100000001</v>
      </c>
      <c r="AK41" s="100">
        <v>335609.2</v>
      </c>
      <c r="AL41" s="12">
        <v>335609.2</v>
      </c>
      <c r="AM41" s="100"/>
      <c r="AN41" s="100">
        <v>335609.2</v>
      </c>
      <c r="AO41" s="100">
        <v>558968.19999999995</v>
      </c>
    </row>
    <row r="42" spans="1:41" s="2" customFormat="1" ht="20.399999999999999" x14ac:dyDescent="0.2">
      <c r="A42" s="3"/>
      <c r="B42" s="72" t="s">
        <v>283</v>
      </c>
      <c r="C42" s="43">
        <v>6000000</v>
      </c>
      <c r="D42" s="43">
        <f t="shared" si="17"/>
        <v>500000</v>
      </c>
      <c r="E42" s="43"/>
      <c r="F42" s="43"/>
      <c r="G42" s="43"/>
      <c r="H42" s="43">
        <v>411009</v>
      </c>
      <c r="I42" s="43">
        <v>300000</v>
      </c>
      <c r="J42" s="43"/>
      <c r="K42" s="43"/>
      <c r="L42" s="43">
        <f t="shared" si="16"/>
        <v>300000</v>
      </c>
      <c r="M42" s="43"/>
      <c r="N42" s="43"/>
      <c r="O42" s="43">
        <f>M42/L42*100</f>
        <v>0</v>
      </c>
      <c r="P42" s="43">
        <v>416666</v>
      </c>
      <c r="Q42" s="43"/>
      <c r="R42" s="43">
        <f t="shared" si="12"/>
        <v>416666</v>
      </c>
      <c r="S42" s="43"/>
      <c r="T42" s="43"/>
      <c r="U42" s="43"/>
      <c r="V42" s="43"/>
      <c r="W42" s="43"/>
      <c r="X42" s="43">
        <f t="shared" si="13"/>
        <v>416666</v>
      </c>
      <c r="Y42" s="43"/>
      <c r="Z42" s="43">
        <v>365946.4</v>
      </c>
      <c r="AA42" s="43"/>
      <c r="AB42" s="43"/>
      <c r="AC42" s="43"/>
      <c r="AD42" s="43">
        <f t="shared" si="14"/>
        <v>365946.4</v>
      </c>
      <c r="AE42" s="43">
        <v>416668</v>
      </c>
      <c r="AF42" s="43"/>
      <c r="AG42" s="43"/>
      <c r="AH42" s="43">
        <f>AE42+AF42</f>
        <v>416668</v>
      </c>
      <c r="AI42" s="71">
        <v>3952690.1</v>
      </c>
      <c r="AJ42" s="70">
        <v>828173.40399999998</v>
      </c>
      <c r="AK42" s="100">
        <v>413512</v>
      </c>
      <c r="AL42" s="12">
        <v>413512</v>
      </c>
      <c r="AM42" s="100"/>
      <c r="AN42" s="100">
        <v>413512</v>
      </c>
      <c r="AO42" s="100">
        <v>295436.5</v>
      </c>
    </row>
    <row r="43" spans="1:41" s="2" customFormat="1" ht="10.199999999999999" x14ac:dyDescent="0.2">
      <c r="A43" s="3"/>
      <c r="B43" s="72" t="s">
        <v>282</v>
      </c>
      <c r="C43" s="43">
        <f>SUM(C44:C49)</f>
        <v>2647080</v>
      </c>
      <c r="D43" s="43">
        <f t="shared" si="17"/>
        <v>220590</v>
      </c>
      <c r="E43" s="43"/>
      <c r="F43" s="43"/>
      <c r="G43" s="43"/>
      <c r="H43" s="43"/>
      <c r="I43" s="43"/>
      <c r="J43" s="43"/>
      <c r="K43" s="43"/>
      <c r="L43" s="43">
        <f t="shared" si="16"/>
        <v>0</v>
      </c>
      <c r="M43" s="43"/>
      <c r="N43" s="43">
        <f t="shared" ref="N43:N50" si="18">M43-L43</f>
        <v>0</v>
      </c>
      <c r="O43" s="43"/>
      <c r="P43" s="43"/>
      <c r="Q43" s="43"/>
      <c r="R43" s="43">
        <f t="shared" si="12"/>
        <v>0</v>
      </c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>
        <f>AE44</f>
        <v>842400</v>
      </c>
      <c r="AF43" s="43"/>
      <c r="AG43" s="43"/>
      <c r="AH43" s="43">
        <f>AE43+AF43</f>
        <v>842400</v>
      </c>
      <c r="AI43" s="71">
        <v>842400</v>
      </c>
      <c r="AJ43" s="70"/>
      <c r="AK43" s="100"/>
      <c r="AL43" s="12"/>
      <c r="AM43" s="100"/>
      <c r="AN43" s="100"/>
      <c r="AO43" s="12">
        <v>730970</v>
      </c>
    </row>
    <row r="44" spans="1:41" s="2" customFormat="1" ht="22.5" customHeight="1" x14ac:dyDescent="0.2">
      <c r="A44" s="3"/>
      <c r="B44" s="72" t="s">
        <v>281</v>
      </c>
      <c r="C44" s="43">
        <v>1684800</v>
      </c>
      <c r="D44" s="43">
        <f t="shared" si="17"/>
        <v>140400</v>
      </c>
      <c r="E44" s="43"/>
      <c r="F44" s="43"/>
      <c r="G44" s="43"/>
      <c r="H44" s="43"/>
      <c r="I44" s="43"/>
      <c r="J44" s="43"/>
      <c r="K44" s="43"/>
      <c r="L44" s="43">
        <f t="shared" si="16"/>
        <v>0</v>
      </c>
      <c r="M44" s="43"/>
      <c r="N44" s="43">
        <f t="shared" si="18"/>
        <v>0</v>
      </c>
      <c r="O44" s="43"/>
      <c r="P44" s="43"/>
      <c r="Q44" s="43"/>
      <c r="R44" s="43">
        <f t="shared" si="12"/>
        <v>0</v>
      </c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>
        <v>842400</v>
      </c>
      <c r="AF44" s="43"/>
      <c r="AG44" s="43"/>
      <c r="AH44" s="43">
        <f>AE44+AF44</f>
        <v>842400</v>
      </c>
      <c r="AI44" s="71">
        <v>842400</v>
      </c>
      <c r="AJ44" s="70"/>
      <c r="AK44" s="100"/>
      <c r="AL44" s="12"/>
      <c r="AM44" s="100"/>
      <c r="AN44" s="100"/>
      <c r="AO44" s="112"/>
    </row>
    <row r="45" spans="1:41" s="2" customFormat="1" ht="10.199999999999999" x14ac:dyDescent="0.2">
      <c r="A45" s="3"/>
      <c r="B45" s="72" t="s">
        <v>280</v>
      </c>
      <c r="C45" s="43"/>
      <c r="D45" s="43"/>
      <c r="E45" s="43"/>
      <c r="F45" s="43"/>
      <c r="G45" s="43"/>
      <c r="H45" s="43"/>
      <c r="I45" s="43"/>
      <c r="J45" s="43"/>
      <c r="K45" s="43"/>
      <c r="L45" s="43">
        <f t="shared" si="16"/>
        <v>0</v>
      </c>
      <c r="M45" s="43"/>
      <c r="N45" s="43">
        <f t="shared" si="18"/>
        <v>0</v>
      </c>
      <c r="O45" s="43"/>
      <c r="P45" s="43"/>
      <c r="Q45" s="43"/>
      <c r="R45" s="43">
        <f t="shared" si="12"/>
        <v>0</v>
      </c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>
        <f t="shared" ref="AE45:AE50" si="19">SUM(Y45:AB45)</f>
        <v>0</v>
      </c>
      <c r="AF45" s="43"/>
      <c r="AG45" s="43"/>
      <c r="AH45" s="43"/>
      <c r="AI45" s="71"/>
      <c r="AJ45" s="70"/>
      <c r="AK45" s="100"/>
      <c r="AL45" s="12"/>
      <c r="AM45" s="100"/>
      <c r="AN45" s="100"/>
      <c r="AO45" s="12">
        <v>730970</v>
      </c>
    </row>
    <row r="46" spans="1:41" s="2" customFormat="1" ht="20.399999999999999" x14ac:dyDescent="0.2">
      <c r="A46" s="3"/>
      <c r="B46" s="72" t="s">
        <v>279</v>
      </c>
      <c r="C46" s="43">
        <v>855360</v>
      </c>
      <c r="D46" s="43">
        <f>C46/12</f>
        <v>71280</v>
      </c>
      <c r="E46" s="43"/>
      <c r="F46" s="43"/>
      <c r="G46" s="43"/>
      <c r="H46" s="43"/>
      <c r="I46" s="43"/>
      <c r="J46" s="43"/>
      <c r="K46" s="43"/>
      <c r="L46" s="43">
        <f t="shared" si="16"/>
        <v>0</v>
      </c>
      <c r="M46" s="43"/>
      <c r="N46" s="43">
        <f t="shared" si="18"/>
        <v>0</v>
      </c>
      <c r="O46" s="43"/>
      <c r="P46" s="43"/>
      <c r="Q46" s="43"/>
      <c r="R46" s="43">
        <f t="shared" si="12"/>
        <v>0</v>
      </c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>
        <f t="shared" si="19"/>
        <v>0</v>
      </c>
      <c r="AF46" s="43"/>
      <c r="AG46" s="43"/>
      <c r="AH46" s="43"/>
      <c r="AI46" s="71"/>
      <c r="AJ46" s="70"/>
      <c r="AK46" s="100"/>
      <c r="AL46" s="12"/>
      <c r="AM46" s="100"/>
      <c r="AN46" s="100"/>
      <c r="AO46" s="100"/>
    </row>
    <row r="47" spans="1:41" s="2" customFormat="1" ht="10.199999999999999" x14ac:dyDescent="0.2">
      <c r="A47" s="3"/>
      <c r="B47" s="72" t="s">
        <v>278</v>
      </c>
      <c r="C47" s="43"/>
      <c r="D47" s="43"/>
      <c r="E47" s="43"/>
      <c r="F47" s="43"/>
      <c r="G47" s="43"/>
      <c r="H47" s="43"/>
      <c r="I47" s="43"/>
      <c r="J47" s="43"/>
      <c r="K47" s="43"/>
      <c r="L47" s="43">
        <f t="shared" si="16"/>
        <v>0</v>
      </c>
      <c r="M47" s="43"/>
      <c r="N47" s="43">
        <f t="shared" si="18"/>
        <v>0</v>
      </c>
      <c r="O47" s="43"/>
      <c r="P47" s="43"/>
      <c r="Q47" s="43"/>
      <c r="R47" s="43">
        <f t="shared" si="12"/>
        <v>0</v>
      </c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>
        <f t="shared" si="19"/>
        <v>0</v>
      </c>
      <c r="AF47" s="43"/>
      <c r="AG47" s="43"/>
      <c r="AH47" s="43"/>
      <c r="AI47" s="71"/>
      <c r="AJ47" s="70"/>
      <c r="AK47" s="100"/>
      <c r="AL47" s="12"/>
      <c r="AM47" s="100"/>
      <c r="AN47" s="100"/>
      <c r="AO47" s="112"/>
    </row>
    <row r="48" spans="1:41" s="2" customFormat="1" ht="10.199999999999999" x14ac:dyDescent="0.2">
      <c r="A48" s="3"/>
      <c r="B48" s="72" t="s">
        <v>277</v>
      </c>
      <c r="C48" s="43"/>
      <c r="D48" s="43"/>
      <c r="E48" s="43"/>
      <c r="F48" s="43"/>
      <c r="G48" s="43"/>
      <c r="H48" s="43"/>
      <c r="I48" s="43"/>
      <c r="J48" s="43"/>
      <c r="K48" s="43"/>
      <c r="L48" s="43">
        <f t="shared" si="16"/>
        <v>0</v>
      </c>
      <c r="M48" s="43"/>
      <c r="N48" s="43">
        <f t="shared" si="18"/>
        <v>0</v>
      </c>
      <c r="O48" s="43"/>
      <c r="P48" s="43"/>
      <c r="Q48" s="43"/>
      <c r="R48" s="43">
        <f t="shared" si="12"/>
        <v>0</v>
      </c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>
        <f t="shared" si="19"/>
        <v>0</v>
      </c>
      <c r="AF48" s="43"/>
      <c r="AG48" s="43"/>
      <c r="AH48" s="43"/>
      <c r="AI48" s="71"/>
      <c r="AJ48" s="70"/>
      <c r="AK48" s="100"/>
      <c r="AL48" s="12"/>
      <c r="AM48" s="100"/>
      <c r="AN48" s="100"/>
      <c r="AO48" s="112"/>
    </row>
    <row r="49" spans="1:41" s="2" customFormat="1" ht="10.199999999999999" x14ac:dyDescent="0.2">
      <c r="A49" s="3"/>
      <c r="B49" s="72" t="s">
        <v>276</v>
      </c>
      <c r="C49" s="43">
        <v>106920</v>
      </c>
      <c r="D49" s="43">
        <f>C49/12</f>
        <v>8910</v>
      </c>
      <c r="E49" s="43"/>
      <c r="F49" s="43"/>
      <c r="G49" s="43"/>
      <c r="H49" s="43"/>
      <c r="I49" s="43"/>
      <c r="J49" s="43"/>
      <c r="K49" s="43"/>
      <c r="L49" s="43">
        <f t="shared" si="16"/>
        <v>0</v>
      </c>
      <c r="M49" s="43"/>
      <c r="N49" s="43">
        <f t="shared" si="18"/>
        <v>0</v>
      </c>
      <c r="O49" s="43"/>
      <c r="P49" s="43"/>
      <c r="Q49" s="43"/>
      <c r="R49" s="43">
        <f t="shared" si="12"/>
        <v>0</v>
      </c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>
        <f t="shared" si="19"/>
        <v>0</v>
      </c>
      <c r="AF49" s="43"/>
      <c r="AG49" s="43"/>
      <c r="AH49" s="43"/>
      <c r="AI49" s="71"/>
      <c r="AJ49" s="70"/>
      <c r="AK49" s="100"/>
      <c r="AL49" s="12"/>
      <c r="AM49" s="100"/>
      <c r="AN49" s="100"/>
      <c r="AO49" s="112"/>
    </row>
    <row r="50" spans="1:41" s="2" customFormat="1" ht="10.199999999999999" x14ac:dyDescent="0.2">
      <c r="A50" s="3"/>
      <c r="B50" s="69" t="s">
        <v>275</v>
      </c>
      <c r="C50" s="35">
        <v>3184000</v>
      </c>
      <c r="D50" s="35">
        <f>C50/12</f>
        <v>265333.33333333331</v>
      </c>
      <c r="E50" s="35"/>
      <c r="F50" s="35"/>
      <c r="G50" s="35"/>
      <c r="H50" s="35">
        <v>3184000</v>
      </c>
      <c r="I50" s="35"/>
      <c r="J50" s="35"/>
      <c r="K50" s="35"/>
      <c r="L50" s="68">
        <f t="shared" si="16"/>
        <v>0</v>
      </c>
      <c r="M50" s="68"/>
      <c r="N50" s="68">
        <f t="shared" si="18"/>
        <v>0</v>
      </c>
      <c r="O50" s="68"/>
      <c r="P50" s="68"/>
      <c r="Q50" s="68"/>
      <c r="R50" s="68">
        <f t="shared" si="12"/>
        <v>0</v>
      </c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>
        <f t="shared" si="19"/>
        <v>0</v>
      </c>
      <c r="AF50" s="68"/>
      <c r="AG50" s="68"/>
      <c r="AH50" s="68"/>
      <c r="AI50" s="67"/>
      <c r="AJ50" s="66"/>
      <c r="AK50" s="100"/>
      <c r="AL50" s="12"/>
      <c r="AM50" s="100"/>
      <c r="AN50" s="100"/>
      <c r="AO50" s="112"/>
    </row>
    <row r="51" spans="1:41" s="2" customFormat="1" ht="13.2" x14ac:dyDescent="0.25">
      <c r="A51" s="3"/>
      <c r="B51" s="7"/>
      <c r="C51" s="7"/>
      <c r="D51" s="7"/>
      <c r="E51" s="7"/>
      <c r="F51" s="7"/>
      <c r="G51" s="7"/>
      <c r="H51" s="6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5"/>
      <c r="AD51" s="3"/>
      <c r="AE51" s="3"/>
      <c r="AF51" s="3"/>
      <c r="AG51" s="3"/>
      <c r="AH51" s="3"/>
      <c r="AI51" s="3"/>
      <c r="AJ51" s="4"/>
      <c r="AK51" s="96"/>
      <c r="AL51" s="20"/>
      <c r="AM51" s="96"/>
      <c r="AN51" s="19"/>
      <c r="AO51" s="19"/>
    </row>
    <row r="52" spans="1:41" s="18" customFormat="1" ht="13.2" hidden="1" x14ac:dyDescent="0.25">
      <c r="A52" s="20"/>
      <c r="B52" s="27"/>
      <c r="C52" s="27"/>
      <c r="D52" s="27"/>
      <c r="E52" s="27"/>
      <c r="F52" s="27"/>
      <c r="G52" s="27"/>
      <c r="H52" s="26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1"/>
      <c r="AD52" s="20"/>
      <c r="AE52" s="20"/>
      <c r="AF52" s="20"/>
      <c r="AG52" s="20"/>
      <c r="AH52" s="20"/>
      <c r="AI52" s="20"/>
      <c r="AJ52" s="19"/>
      <c r="AK52" s="96"/>
      <c r="AL52" s="20"/>
      <c r="AM52" s="96"/>
      <c r="AN52" s="19"/>
      <c r="AO52" s="19"/>
    </row>
    <row r="53" spans="1:41" s="18" customFormat="1" ht="13.2" hidden="1" x14ac:dyDescent="0.25">
      <c r="A53" s="20"/>
      <c r="B53" s="27"/>
      <c r="C53" s="27"/>
      <c r="D53" s="27"/>
      <c r="E53" s="27"/>
      <c r="F53" s="27"/>
      <c r="G53" s="27"/>
      <c r="H53" s="26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1"/>
      <c r="AD53" s="20"/>
      <c r="AE53" s="20"/>
      <c r="AF53" s="20"/>
      <c r="AG53" s="20"/>
      <c r="AH53" s="20"/>
      <c r="AI53" s="20"/>
      <c r="AJ53" s="19"/>
      <c r="AK53" s="96"/>
      <c r="AL53" s="20"/>
      <c r="AM53" s="96"/>
      <c r="AN53" s="19"/>
      <c r="AO53" s="19"/>
    </row>
    <row r="54" spans="1:41" s="18" customFormat="1" ht="13.2" hidden="1" x14ac:dyDescent="0.25">
      <c r="A54" s="20"/>
      <c r="B54" s="27"/>
      <c r="C54" s="27"/>
      <c r="D54" s="27"/>
      <c r="E54" s="27"/>
      <c r="F54" s="27"/>
      <c r="G54" s="27"/>
      <c r="H54" s="26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1"/>
      <c r="AD54" s="20"/>
      <c r="AE54" s="20"/>
      <c r="AF54" s="20"/>
      <c r="AG54" s="20"/>
      <c r="AH54" s="20"/>
      <c r="AI54" s="20"/>
      <c r="AJ54" s="19"/>
      <c r="AK54" s="96"/>
      <c r="AL54" s="20"/>
      <c r="AM54" s="96"/>
      <c r="AN54" s="19"/>
      <c r="AO54" s="19"/>
    </row>
    <row r="55" spans="1:41" s="18" customFormat="1" ht="13.2" hidden="1" x14ac:dyDescent="0.25">
      <c r="A55" s="20"/>
      <c r="B55" s="27"/>
      <c r="C55" s="27"/>
      <c r="D55" s="27"/>
      <c r="E55" s="27"/>
      <c r="F55" s="27"/>
      <c r="G55" s="27"/>
      <c r="H55" s="26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1"/>
      <c r="AD55" s="20"/>
      <c r="AE55" s="20"/>
      <c r="AF55" s="20"/>
      <c r="AG55" s="20"/>
      <c r="AH55" s="20"/>
      <c r="AI55" s="20"/>
      <c r="AJ55" s="19"/>
      <c r="AK55" s="96"/>
      <c r="AL55" s="20"/>
      <c r="AM55" s="96"/>
      <c r="AN55" s="19"/>
      <c r="AO55" s="19"/>
    </row>
    <row r="56" spans="1:41" s="18" customFormat="1" ht="13.2" hidden="1" x14ac:dyDescent="0.25">
      <c r="A56" s="20"/>
      <c r="B56" s="27"/>
      <c r="C56" s="27"/>
      <c r="D56" s="27"/>
      <c r="E56" s="27"/>
      <c r="F56" s="27"/>
      <c r="G56" s="27"/>
      <c r="H56" s="26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1"/>
      <c r="AD56" s="20"/>
      <c r="AE56" s="20"/>
      <c r="AF56" s="20"/>
      <c r="AG56" s="20"/>
      <c r="AH56" s="20"/>
      <c r="AI56" s="20"/>
      <c r="AJ56" s="19"/>
      <c r="AK56" s="96"/>
      <c r="AL56" s="20"/>
      <c r="AM56" s="96"/>
      <c r="AN56" s="19"/>
      <c r="AO56" s="19"/>
    </row>
    <row r="57" spans="1:41" s="18" customFormat="1" ht="13.2" hidden="1" x14ac:dyDescent="0.25">
      <c r="A57" s="20"/>
      <c r="B57" s="27"/>
      <c r="C57" s="27"/>
      <c r="D57" s="27"/>
      <c r="E57" s="27"/>
      <c r="F57" s="27"/>
      <c r="G57" s="27"/>
      <c r="H57" s="26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1"/>
      <c r="AD57" s="20"/>
      <c r="AE57" s="20"/>
      <c r="AF57" s="20"/>
      <c r="AG57" s="20"/>
      <c r="AH57" s="20"/>
      <c r="AI57" s="20"/>
      <c r="AJ57" s="19"/>
      <c r="AK57" s="96"/>
      <c r="AL57" s="20"/>
      <c r="AM57" s="96"/>
      <c r="AN57" s="19"/>
      <c r="AO57" s="19"/>
    </row>
    <row r="58" spans="1:41" s="18" customFormat="1" ht="13.2" x14ac:dyDescent="0.25">
      <c r="A58" s="20"/>
      <c r="B58" s="27"/>
      <c r="C58" s="27"/>
      <c r="D58" s="27"/>
      <c r="E58" s="27"/>
      <c r="F58" s="27"/>
      <c r="G58" s="27"/>
      <c r="H58" s="26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1"/>
      <c r="AD58" s="20"/>
      <c r="AE58" s="20"/>
      <c r="AF58" s="20"/>
      <c r="AG58" s="20"/>
      <c r="AH58" s="20"/>
      <c r="AI58" s="20"/>
      <c r="AJ58" s="19"/>
      <c r="AK58" s="96"/>
      <c r="AL58" s="20"/>
      <c r="AM58" s="96"/>
      <c r="AN58" s="19"/>
      <c r="AO58" s="19"/>
    </row>
    <row r="59" spans="1:41" s="18" customFormat="1" ht="13.2" x14ac:dyDescent="0.25">
      <c r="A59" s="20"/>
      <c r="B59" s="27"/>
      <c r="C59" s="27"/>
      <c r="D59" s="27"/>
      <c r="E59" s="27"/>
      <c r="F59" s="27"/>
      <c r="G59" s="27"/>
      <c r="H59" s="26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1"/>
      <c r="AD59" s="20"/>
      <c r="AE59" s="20"/>
      <c r="AF59" s="20"/>
      <c r="AG59" s="20"/>
      <c r="AH59" s="20"/>
      <c r="AI59" s="20"/>
      <c r="AJ59" s="19"/>
      <c r="AK59" s="96"/>
      <c r="AL59" s="20"/>
      <c r="AM59" s="96"/>
      <c r="AN59" s="19"/>
      <c r="AO59" s="19"/>
    </row>
    <row r="60" spans="1:41" s="18" customFormat="1" ht="13.2" x14ac:dyDescent="0.25">
      <c r="A60" s="20"/>
      <c r="B60" s="27"/>
      <c r="C60" s="27"/>
      <c r="D60" s="27"/>
      <c r="E60" s="27"/>
      <c r="F60" s="27"/>
      <c r="G60" s="27"/>
      <c r="H60" s="26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1"/>
      <c r="AD60" s="20"/>
      <c r="AE60" s="20"/>
      <c r="AF60" s="20"/>
      <c r="AG60" s="20"/>
      <c r="AH60" s="20"/>
      <c r="AI60" s="20"/>
      <c r="AJ60" s="19"/>
      <c r="AK60" s="96"/>
      <c r="AL60" s="20"/>
      <c r="AM60" s="96"/>
      <c r="AN60" s="19"/>
      <c r="AO60" s="19"/>
    </row>
    <row r="61" spans="1:41" s="18" customFormat="1" ht="13.2" x14ac:dyDescent="0.25">
      <c r="A61" s="20"/>
      <c r="B61" s="27"/>
      <c r="C61" s="27"/>
      <c r="D61" s="27"/>
      <c r="E61" s="27"/>
      <c r="F61" s="27"/>
      <c r="G61" s="27"/>
      <c r="H61" s="26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1"/>
      <c r="AD61" s="20"/>
      <c r="AE61" s="20"/>
      <c r="AF61" s="20"/>
      <c r="AG61" s="20"/>
      <c r="AH61" s="20"/>
      <c r="AI61" s="20"/>
      <c r="AJ61" s="19"/>
      <c r="AK61" s="96"/>
      <c r="AL61" s="20"/>
      <c r="AM61" s="96"/>
      <c r="AN61" s="19"/>
      <c r="AO61" s="19"/>
    </row>
    <row r="62" spans="1:41" s="18" customFormat="1" ht="13.2" x14ac:dyDescent="0.25">
      <c r="A62" s="20"/>
      <c r="B62" s="27"/>
      <c r="C62" s="27"/>
      <c r="D62" s="27"/>
      <c r="E62" s="27"/>
      <c r="F62" s="27"/>
      <c r="G62" s="27"/>
      <c r="H62" s="26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1"/>
      <c r="AD62" s="20"/>
      <c r="AE62" s="20"/>
      <c r="AF62" s="20"/>
      <c r="AG62" s="20"/>
      <c r="AH62" s="20"/>
      <c r="AI62" s="20"/>
      <c r="AJ62" s="19"/>
      <c r="AK62" s="96"/>
      <c r="AL62" s="20"/>
      <c r="AM62" s="96"/>
      <c r="AN62" s="19"/>
      <c r="AO62" s="19"/>
    </row>
    <row r="63" spans="1:41" s="18" customFormat="1" ht="13.2" x14ac:dyDescent="0.25">
      <c r="A63" s="20"/>
      <c r="B63" s="27"/>
      <c r="C63" s="27"/>
      <c r="D63" s="27"/>
      <c r="E63" s="27"/>
      <c r="F63" s="27"/>
      <c r="G63" s="27"/>
      <c r="H63" s="26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1"/>
      <c r="AD63" s="20"/>
      <c r="AE63" s="20"/>
      <c r="AF63" s="20"/>
      <c r="AG63" s="20"/>
      <c r="AH63" s="20"/>
      <c r="AI63" s="20"/>
      <c r="AJ63" s="19"/>
      <c r="AK63" s="96"/>
      <c r="AL63" s="20"/>
      <c r="AM63" s="96"/>
      <c r="AN63" s="19"/>
      <c r="AO63" s="19"/>
    </row>
    <row r="64" spans="1:41" s="18" customFormat="1" ht="13.2" x14ac:dyDescent="0.25">
      <c r="A64" s="65"/>
      <c r="B64" s="144"/>
      <c r="C64" s="144"/>
      <c r="D64" s="144"/>
      <c r="E64" s="144"/>
      <c r="F64" s="144"/>
      <c r="G64" s="144"/>
      <c r="H64" s="144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5"/>
      <c r="AD64" s="3"/>
      <c r="AE64" s="3"/>
      <c r="AF64" s="3"/>
      <c r="AG64" s="3"/>
      <c r="AH64" s="3"/>
      <c r="AJ64" s="4"/>
      <c r="AK64" s="96"/>
      <c r="AL64" s="84" t="s">
        <v>274</v>
      </c>
      <c r="AM64" s="96"/>
      <c r="AN64" s="19"/>
      <c r="AO64" s="19"/>
    </row>
    <row r="65" spans="1:41" s="18" customFormat="1" ht="30.6" x14ac:dyDescent="0.25">
      <c r="A65" s="64" t="s">
        <v>273</v>
      </c>
      <c r="B65" s="63" t="s">
        <v>272</v>
      </c>
      <c r="C65" s="62" t="s">
        <v>271</v>
      </c>
      <c r="D65" s="62" t="s">
        <v>270</v>
      </c>
      <c r="E65" s="60" t="s">
        <v>269</v>
      </c>
      <c r="F65" s="60" t="s">
        <v>268</v>
      </c>
      <c r="G65" s="62" t="s">
        <v>267</v>
      </c>
      <c r="H65" s="62" t="s">
        <v>266</v>
      </c>
      <c r="I65" s="62" t="s">
        <v>265</v>
      </c>
      <c r="J65" s="62" t="s">
        <v>265</v>
      </c>
      <c r="K65" s="62" t="s">
        <v>265</v>
      </c>
      <c r="L65" s="62" t="s">
        <v>264</v>
      </c>
      <c r="M65" s="60" t="s">
        <v>263</v>
      </c>
      <c r="N65" s="62" t="s">
        <v>262</v>
      </c>
      <c r="O65" s="62" t="s">
        <v>261</v>
      </c>
      <c r="P65" s="62" t="s">
        <v>260</v>
      </c>
      <c r="Q65" s="62" t="s">
        <v>259</v>
      </c>
      <c r="R65" s="62" t="s">
        <v>258</v>
      </c>
      <c r="S65" s="62" t="s">
        <v>257</v>
      </c>
      <c r="T65" s="62" t="s">
        <v>256</v>
      </c>
      <c r="U65" s="62" t="s">
        <v>255</v>
      </c>
      <c r="V65" s="62" t="s">
        <v>254</v>
      </c>
      <c r="W65" s="62" t="s">
        <v>253</v>
      </c>
      <c r="X65" s="60" t="s">
        <v>252</v>
      </c>
      <c r="Y65" s="62" t="s">
        <v>251</v>
      </c>
      <c r="Z65" s="62" t="s">
        <v>250</v>
      </c>
      <c r="AA65" s="62" t="s">
        <v>249</v>
      </c>
      <c r="AB65" s="62" t="s">
        <v>248</v>
      </c>
      <c r="AC65" s="61" t="s">
        <v>247</v>
      </c>
      <c r="AD65" s="60" t="s">
        <v>246</v>
      </c>
      <c r="AE65" s="62" t="s">
        <v>245</v>
      </c>
      <c r="AF65" s="61" t="s">
        <v>244</v>
      </c>
      <c r="AG65" s="61" t="s">
        <v>244</v>
      </c>
      <c r="AH65" s="60" t="s">
        <v>243</v>
      </c>
      <c r="AI65" s="59" t="s">
        <v>242</v>
      </c>
      <c r="AJ65" s="59" t="s">
        <v>241</v>
      </c>
      <c r="AK65" s="101" t="s">
        <v>345</v>
      </c>
      <c r="AL65" s="58" t="s">
        <v>240</v>
      </c>
      <c r="AM65" s="101" t="s">
        <v>346</v>
      </c>
      <c r="AN65" s="101" t="s">
        <v>328</v>
      </c>
      <c r="AO65" s="101" t="s">
        <v>354</v>
      </c>
    </row>
    <row r="66" spans="1:41" s="18" customFormat="1" ht="13.2" x14ac:dyDescent="0.25">
      <c r="A66" s="46">
        <v>11110</v>
      </c>
      <c r="B66" s="45" t="s">
        <v>239</v>
      </c>
      <c r="C66" s="43">
        <v>571048.4</v>
      </c>
      <c r="D66" s="43">
        <f t="shared" ref="D66:D100" si="20">C66/12</f>
        <v>47587.366666666669</v>
      </c>
      <c r="E66" s="43">
        <v>52640</v>
      </c>
      <c r="F66" s="43">
        <v>46685.1</v>
      </c>
      <c r="G66" s="43">
        <f t="shared" ref="G66:G100" si="21">C66*23.3/100</f>
        <v>133054.27720000001</v>
      </c>
      <c r="H66" s="44">
        <f>(E66+F66)/(8725103.2+9421212.6)*100</f>
        <v>0.54735683592589091</v>
      </c>
      <c r="I66" s="43">
        <f>7990664.7*H66/100+3850</f>
        <v>47587.449471367087</v>
      </c>
      <c r="J66" s="43"/>
      <c r="K66" s="43"/>
      <c r="L66" s="43">
        <f>SUM(I66:K66)-276</f>
        <v>47311.449471367087</v>
      </c>
      <c r="M66" s="43">
        <v>29528.1</v>
      </c>
      <c r="N66" s="43">
        <f t="shared" ref="N66:N100" si="22">M66-L66</f>
        <v>-17783.349471367088</v>
      </c>
      <c r="O66" s="43">
        <f t="shared" ref="O66:O100" si="23">M66/L66*100</f>
        <v>62.412165194537991</v>
      </c>
      <c r="P66" s="43">
        <v>161966</v>
      </c>
      <c r="Q66" s="44">
        <f t="shared" ref="Q66:Q100" si="24">P66/24509630.1*100</f>
        <v>0.66082596652488845</v>
      </c>
      <c r="R66" s="43">
        <f t="shared" ref="R66:R100" si="25">6201897*Q66/100</f>
        <v>40983.745793128059</v>
      </c>
      <c r="S66" s="43">
        <v>9200</v>
      </c>
      <c r="T66" s="43"/>
      <c r="U66" s="43"/>
      <c r="V66" s="43"/>
      <c r="W66" s="43"/>
      <c r="X66" s="43">
        <f t="shared" ref="X66:X97" si="26">SUM(R66:V66)</f>
        <v>50183.745793128059</v>
      </c>
      <c r="Y66" s="43">
        <v>40919</v>
      </c>
      <c r="Z66" s="43">
        <f>Y66</f>
        <v>40919</v>
      </c>
      <c r="AA66" s="43"/>
      <c r="AB66" s="43"/>
      <c r="AC66" s="43"/>
      <c r="AD66" s="43">
        <f t="shared" ref="AD66:AD97" si="27">SUM(Z66:AC66)</f>
        <v>40919</v>
      </c>
      <c r="AE66" s="42">
        <f>54784.6</f>
        <v>54784.6</v>
      </c>
      <c r="AF66" s="42"/>
      <c r="AG66" s="42">
        <f>9655.5+2432.1+1500</f>
        <v>13587.6</v>
      </c>
      <c r="AH66" s="42">
        <f t="shared" ref="AH66:AH129" si="28">AE66+AF66+AG66</f>
        <v>68372.2</v>
      </c>
      <c r="AI66" s="41">
        <v>43937.4</v>
      </c>
      <c r="AJ66" s="40">
        <v>50000</v>
      </c>
      <c r="AK66" s="49">
        <f>51539.28-13000</f>
        <v>38539.279999999999</v>
      </c>
      <c r="AL66" s="39">
        <f>AK66</f>
        <v>38539.279999999999</v>
      </c>
      <c r="AM66" s="49"/>
      <c r="AN66" s="49">
        <f>AK66+AM66</f>
        <v>38539.279999999999</v>
      </c>
      <c r="AO66" s="49">
        <f>123140.7/3</f>
        <v>41046.9</v>
      </c>
    </row>
    <row r="67" spans="1:41" s="18" customFormat="1" ht="13.2" x14ac:dyDescent="0.25">
      <c r="A67" s="46">
        <v>11210</v>
      </c>
      <c r="B67" s="45" t="s">
        <v>238</v>
      </c>
      <c r="C67" s="43">
        <f>71529+10008.6</f>
        <v>81537.600000000006</v>
      </c>
      <c r="D67" s="43">
        <f t="shared" si="20"/>
        <v>6794.8</v>
      </c>
      <c r="E67" s="43">
        <v>6800.8</v>
      </c>
      <c r="F67" s="43">
        <v>6469.3</v>
      </c>
      <c r="G67" s="43">
        <f t="shared" si="21"/>
        <v>18998.260800000004</v>
      </c>
      <c r="H67" s="44">
        <f>(E67+F67)/(8725103.2+9421212.6)*100</f>
        <v>7.3128342668873886E-2</v>
      </c>
      <c r="I67" s="43">
        <f>7990664.7*H67/100+951.4</f>
        <v>6794.8406633367431</v>
      </c>
      <c r="J67" s="43"/>
      <c r="K67" s="43"/>
      <c r="L67" s="43">
        <f>SUM(I67:K67)</f>
        <v>6794.8406633367431</v>
      </c>
      <c r="M67" s="43">
        <v>6794.8</v>
      </c>
      <c r="N67" s="43">
        <f t="shared" si="22"/>
        <v>-4.0663336742909451E-2</v>
      </c>
      <c r="O67" s="43">
        <f t="shared" si="23"/>
        <v>99.99940155569854</v>
      </c>
      <c r="P67" s="43">
        <v>24493.300000000003</v>
      </c>
      <c r="Q67" s="44">
        <f t="shared" si="24"/>
        <v>9.9933372719484673E-2</v>
      </c>
      <c r="R67" s="43">
        <f t="shared" si="25"/>
        <v>6197.7648446885378</v>
      </c>
      <c r="S67" s="43">
        <v>2900</v>
      </c>
      <c r="T67" s="43"/>
      <c r="U67" s="43"/>
      <c r="V67" s="43"/>
      <c r="W67" s="43"/>
      <c r="X67" s="43">
        <f t="shared" si="26"/>
        <v>9097.7648446885378</v>
      </c>
      <c r="Y67" s="43">
        <v>8048</v>
      </c>
      <c r="Z67" s="43">
        <f>Y67</f>
        <v>8048</v>
      </c>
      <c r="AA67" s="43"/>
      <c r="AB67" s="43"/>
      <c r="AC67" s="43"/>
      <c r="AD67" s="43">
        <f t="shared" si="27"/>
        <v>8048</v>
      </c>
      <c r="AE67" s="43">
        <v>9075.0999999999985</v>
      </c>
      <c r="AF67" s="43"/>
      <c r="AG67" s="43"/>
      <c r="AH67" s="42">
        <f t="shared" si="28"/>
        <v>9075.0999999999985</v>
      </c>
      <c r="AI67" s="41">
        <v>7115.3</v>
      </c>
      <c r="AJ67" s="40">
        <v>6888.9</v>
      </c>
      <c r="AK67" s="49">
        <f>6736.24-1100</f>
        <v>5636.24</v>
      </c>
      <c r="AL67" s="39">
        <f t="shared" ref="AL67:AL130" si="29">AK67</f>
        <v>5636.24</v>
      </c>
      <c r="AM67" s="49"/>
      <c r="AN67" s="49">
        <f t="shared" ref="AN67:AN130" si="30">AK67+AM67</f>
        <v>5636.24</v>
      </c>
      <c r="AO67" s="49">
        <f>22002.9/3</f>
        <v>7334.3</v>
      </c>
    </row>
    <row r="68" spans="1:41" s="18" customFormat="1" ht="24" customHeight="1" x14ac:dyDescent="0.25">
      <c r="A68" s="46">
        <v>11220</v>
      </c>
      <c r="B68" s="45" t="s">
        <v>237</v>
      </c>
      <c r="C68" s="43">
        <v>1728</v>
      </c>
      <c r="D68" s="43">
        <f t="shared" si="20"/>
        <v>144</v>
      </c>
      <c r="E68" s="43"/>
      <c r="F68" s="43"/>
      <c r="G68" s="43">
        <f t="shared" si="21"/>
        <v>402.62400000000002</v>
      </c>
      <c r="H68" s="44">
        <v>1.9898199999999998E-3</v>
      </c>
      <c r="I68" s="43">
        <f>7990664.7*H68/100</f>
        <v>158.99984433353998</v>
      </c>
      <c r="J68" s="43"/>
      <c r="K68" s="43"/>
      <c r="L68" s="43">
        <f>SUM(I68:K68)</f>
        <v>158.99984433353998</v>
      </c>
      <c r="M68" s="43">
        <v>0</v>
      </c>
      <c r="N68" s="43">
        <f t="shared" si="22"/>
        <v>-158.99984433353998</v>
      </c>
      <c r="O68" s="43">
        <f t="shared" si="23"/>
        <v>0</v>
      </c>
      <c r="P68" s="43">
        <v>520.1</v>
      </c>
      <c r="Q68" s="44">
        <f t="shared" si="24"/>
        <v>2.1220230492177031E-3</v>
      </c>
      <c r="R68" s="43">
        <f t="shared" si="25"/>
        <v>131.60568382874126</v>
      </c>
      <c r="S68" s="43"/>
      <c r="T68" s="43"/>
      <c r="U68" s="43"/>
      <c r="V68" s="43"/>
      <c r="W68" s="43"/>
      <c r="X68" s="43">
        <f t="shared" si="26"/>
        <v>131.60568382874126</v>
      </c>
      <c r="Y68" s="43"/>
      <c r="Z68" s="43">
        <f>Y68</f>
        <v>0</v>
      </c>
      <c r="AA68" s="43"/>
      <c r="AB68" s="43"/>
      <c r="AC68" s="43"/>
      <c r="AD68" s="43">
        <f t="shared" si="27"/>
        <v>0</v>
      </c>
      <c r="AE68" s="43"/>
      <c r="AF68" s="43"/>
      <c r="AG68" s="43"/>
      <c r="AH68" s="42">
        <f t="shared" si="28"/>
        <v>0</v>
      </c>
      <c r="AI68" s="41"/>
      <c r="AJ68" s="40">
        <v>0</v>
      </c>
      <c r="AK68" s="49"/>
      <c r="AL68" s="39">
        <f t="shared" si="29"/>
        <v>0</v>
      </c>
      <c r="AM68" s="49"/>
      <c r="AN68" s="49">
        <f t="shared" si="30"/>
        <v>0</v>
      </c>
      <c r="AO68" s="49"/>
    </row>
    <row r="69" spans="1:41" s="18" customFormat="1" ht="13.2" x14ac:dyDescent="0.25">
      <c r="A69" s="46">
        <v>11310</v>
      </c>
      <c r="B69" s="45" t="s">
        <v>236</v>
      </c>
      <c r="C69" s="43">
        <v>100248.8</v>
      </c>
      <c r="D69" s="43">
        <f t="shared" si="20"/>
        <v>8354.0666666666675</v>
      </c>
      <c r="E69" s="43">
        <v>7672.9</v>
      </c>
      <c r="F69" s="43">
        <v>3890.9</v>
      </c>
      <c r="G69" s="43">
        <f t="shared" si="21"/>
        <v>23357.970400000002</v>
      </c>
      <c r="H69" s="44">
        <f>(E69+F69)/(8725103.2+9421212.6)*100</f>
        <v>6.3725332058863438E-2</v>
      </c>
      <c r="I69" s="43">
        <f>7990664.7*H69/100</f>
        <v>5092.0776137853836</v>
      </c>
      <c r="J69" s="43"/>
      <c r="K69" s="43"/>
      <c r="L69" s="43">
        <f>SUM(I69:K69)</f>
        <v>5092.0776137853836</v>
      </c>
      <c r="M69" s="43">
        <v>4077.7</v>
      </c>
      <c r="N69" s="43">
        <f t="shared" si="22"/>
        <v>-1014.3776137853838</v>
      </c>
      <c r="O69" s="43">
        <f t="shared" si="23"/>
        <v>80.079297867745808</v>
      </c>
      <c r="P69" s="43">
        <v>13996</v>
      </c>
      <c r="Q69" s="44">
        <f t="shared" si="24"/>
        <v>5.7104084977602332E-2</v>
      </c>
      <c r="R69" s="43">
        <f t="shared" si="25"/>
        <v>3541.5365331033699</v>
      </c>
      <c r="S69" s="43"/>
      <c r="T69" s="43"/>
      <c r="U69" s="43"/>
      <c r="V69" s="43"/>
      <c r="W69" s="43"/>
      <c r="X69" s="43">
        <f t="shared" si="26"/>
        <v>3541.5365331033699</v>
      </c>
      <c r="Y69" s="43">
        <v>2562</v>
      </c>
      <c r="Z69" s="43">
        <f>Y69</f>
        <v>2562</v>
      </c>
      <c r="AA69" s="43"/>
      <c r="AB69" s="43"/>
      <c r="AC69" s="43"/>
      <c r="AD69" s="43">
        <f t="shared" si="27"/>
        <v>2562</v>
      </c>
      <c r="AE69" s="43">
        <v>2644.5000000000005</v>
      </c>
      <c r="AF69" s="43"/>
      <c r="AG69" s="43"/>
      <c r="AH69" s="42">
        <f t="shared" si="28"/>
        <v>2644.5000000000005</v>
      </c>
      <c r="AI69" s="41">
        <v>3100.5</v>
      </c>
      <c r="AJ69" s="40">
        <v>4394.2</v>
      </c>
      <c r="AK69" s="49">
        <f>5136.46-1000-1200</f>
        <v>2936.46</v>
      </c>
      <c r="AL69" s="39">
        <f t="shared" si="29"/>
        <v>2936.46</v>
      </c>
      <c r="AM69" s="49"/>
      <c r="AN69" s="49">
        <f t="shared" si="30"/>
        <v>2936.46</v>
      </c>
      <c r="AO69" s="49">
        <f>8101.7/3</f>
        <v>2700.5666666666666</v>
      </c>
    </row>
    <row r="70" spans="1:41" s="18" customFormat="1" ht="13.2" x14ac:dyDescent="0.25">
      <c r="A70" s="46">
        <v>11810</v>
      </c>
      <c r="B70" s="45" t="s">
        <v>235</v>
      </c>
      <c r="C70" s="43">
        <v>30000</v>
      </c>
      <c r="D70" s="43">
        <f t="shared" si="20"/>
        <v>2500</v>
      </c>
      <c r="E70" s="43"/>
      <c r="F70" s="43">
        <v>3881</v>
      </c>
      <c r="G70" s="43">
        <f t="shared" si="21"/>
        <v>6990</v>
      </c>
      <c r="H70" s="44">
        <f>(E70+F70)/(8725103.2+9421212.6)*100</f>
        <v>2.1387261429672687E-2</v>
      </c>
      <c r="I70" s="43">
        <v>3619</v>
      </c>
      <c r="J70" s="43"/>
      <c r="K70" s="43"/>
      <c r="L70" s="43">
        <f>SUM(I70:K70)+276</f>
        <v>3895</v>
      </c>
      <c r="M70" s="43">
        <v>3895</v>
      </c>
      <c r="N70" s="43">
        <f t="shared" si="22"/>
        <v>0</v>
      </c>
      <c r="O70" s="43">
        <f t="shared" si="23"/>
        <v>100</v>
      </c>
      <c r="P70" s="43">
        <v>7500</v>
      </c>
      <c r="Q70" s="44">
        <f t="shared" si="24"/>
        <v>3.0600217014291043E-2</v>
      </c>
      <c r="R70" s="43">
        <f t="shared" si="25"/>
        <v>1897.7939410028057</v>
      </c>
      <c r="S70" s="43">
        <v>4000</v>
      </c>
      <c r="T70" s="43"/>
      <c r="U70" s="43"/>
      <c r="V70" s="43"/>
      <c r="W70" s="43"/>
      <c r="X70" s="43">
        <f t="shared" si="26"/>
        <v>5897.7939410028057</v>
      </c>
      <c r="Y70" s="43"/>
      <c r="Z70" s="43">
        <f>D70</f>
        <v>2500</v>
      </c>
      <c r="AA70" s="43"/>
      <c r="AB70" s="43"/>
      <c r="AC70" s="43"/>
      <c r="AD70" s="43">
        <f t="shared" si="27"/>
        <v>2500</v>
      </c>
      <c r="AE70" s="43">
        <v>672.63900000000001</v>
      </c>
      <c r="AF70" s="43"/>
      <c r="AG70" s="42">
        <v>616.4</v>
      </c>
      <c r="AH70" s="42">
        <f t="shared" si="28"/>
        <v>1289.039</v>
      </c>
      <c r="AI70" s="41">
        <v>2500</v>
      </c>
      <c r="AJ70" s="40">
        <v>5177.6000000000004</v>
      </c>
      <c r="AK70" s="49">
        <v>2487.6390000000001</v>
      </c>
      <c r="AL70" s="39">
        <f t="shared" si="29"/>
        <v>2487.6390000000001</v>
      </c>
      <c r="AM70" s="49"/>
      <c r="AN70" s="49">
        <f t="shared" si="30"/>
        <v>2487.6390000000001</v>
      </c>
      <c r="AO70" s="49">
        <f>7224/3</f>
        <v>2408</v>
      </c>
    </row>
    <row r="71" spans="1:41" s="18" customFormat="1" ht="13.2" x14ac:dyDescent="0.25">
      <c r="A71" s="46">
        <v>12110</v>
      </c>
      <c r="B71" s="45" t="s">
        <v>234</v>
      </c>
      <c r="C71" s="43">
        <v>124116.5</v>
      </c>
      <c r="D71" s="43">
        <f t="shared" si="20"/>
        <v>10343.041666666666</v>
      </c>
      <c r="E71" s="43">
        <v>8629.4</v>
      </c>
      <c r="F71" s="43">
        <v>10035</v>
      </c>
      <c r="G71" s="43">
        <f t="shared" si="21"/>
        <v>28919.144500000002</v>
      </c>
      <c r="H71" s="44">
        <f>(E71+F71)/(8725103.2+9421212.6)*100</f>
        <v>0.10285503793557921</v>
      </c>
      <c r="I71" s="43">
        <v>7508.3</v>
      </c>
      <c r="J71" s="43"/>
      <c r="K71" s="43">
        <v>3648.9</v>
      </c>
      <c r="L71" s="43">
        <f t="shared" ref="L71:L100" si="31">SUM(I71:K71)</f>
        <v>11157.2</v>
      </c>
      <c r="M71" s="43">
        <v>10599.4</v>
      </c>
      <c r="N71" s="43">
        <f t="shared" si="22"/>
        <v>-557.80000000000109</v>
      </c>
      <c r="O71" s="43">
        <f t="shared" si="23"/>
        <v>95.000537769332794</v>
      </c>
      <c r="P71" s="43">
        <v>37366.299999999996</v>
      </c>
      <c r="Q71" s="44">
        <f t="shared" si="24"/>
        <v>0.1524555852028138</v>
      </c>
      <c r="R71" s="43">
        <f t="shared" si="25"/>
        <v>9455.138365025754</v>
      </c>
      <c r="S71" s="43"/>
      <c r="T71" s="43">
        <v>319.7</v>
      </c>
      <c r="U71" s="43"/>
      <c r="V71" s="43"/>
      <c r="W71" s="43"/>
      <c r="X71" s="43">
        <f t="shared" si="26"/>
        <v>9774.8383650257547</v>
      </c>
      <c r="Y71" s="43">
        <v>9081</v>
      </c>
      <c r="Z71" s="43">
        <f>Y71</f>
        <v>9081</v>
      </c>
      <c r="AA71" s="43"/>
      <c r="AB71" s="43"/>
      <c r="AC71" s="43"/>
      <c r="AD71" s="43">
        <f t="shared" si="27"/>
        <v>9081</v>
      </c>
      <c r="AE71" s="42">
        <f>12270.2-2000</f>
        <v>10270.200000000001</v>
      </c>
      <c r="AF71" s="42"/>
      <c r="AG71" s="42"/>
      <c r="AH71" s="42">
        <f t="shared" si="28"/>
        <v>10270.200000000001</v>
      </c>
      <c r="AI71" s="41">
        <v>12728.3</v>
      </c>
      <c r="AJ71" s="40">
        <v>14101.099999999999</v>
      </c>
      <c r="AK71" s="49">
        <f>16784.6666666667-3000</f>
        <v>13784.666666666701</v>
      </c>
      <c r="AL71" s="39">
        <f t="shared" si="29"/>
        <v>13784.666666666701</v>
      </c>
      <c r="AM71" s="49"/>
      <c r="AN71" s="49">
        <f t="shared" si="30"/>
        <v>13784.666666666701</v>
      </c>
      <c r="AO71" s="49">
        <f>27398.9/3</f>
        <v>9132.9666666666672</v>
      </c>
    </row>
    <row r="72" spans="1:41" s="18" customFormat="1" ht="12.75" customHeight="1" x14ac:dyDescent="0.25">
      <c r="A72" s="46">
        <v>12120</v>
      </c>
      <c r="B72" s="45" t="s">
        <v>233</v>
      </c>
      <c r="C72" s="43">
        <v>7857.6</v>
      </c>
      <c r="D72" s="43">
        <f t="shared" si="20"/>
        <v>654.80000000000007</v>
      </c>
      <c r="E72" s="43"/>
      <c r="F72" s="43">
        <v>329.9</v>
      </c>
      <c r="G72" s="43">
        <f t="shared" si="21"/>
        <v>1830.8208000000002</v>
      </c>
      <c r="H72" s="44">
        <f>(E72+F72)/(8725103.2+9421212.6)*100</f>
        <v>1.8179998829294043E-3</v>
      </c>
      <c r="I72" s="43">
        <v>907.3</v>
      </c>
      <c r="J72" s="43"/>
      <c r="K72" s="43"/>
      <c r="L72" s="43">
        <f t="shared" si="31"/>
        <v>907.3</v>
      </c>
      <c r="M72" s="43">
        <v>746.3</v>
      </c>
      <c r="N72" s="43">
        <f t="shared" si="22"/>
        <v>-161</v>
      </c>
      <c r="O72" s="43">
        <f t="shared" si="23"/>
        <v>82.255042433594184</v>
      </c>
      <c r="P72" s="43">
        <v>1897.3999999999999</v>
      </c>
      <c r="Q72" s="44">
        <f t="shared" si="24"/>
        <v>7.7414469017221101E-3</v>
      </c>
      <c r="R72" s="43">
        <f t="shared" si="25"/>
        <v>480.11656315449648</v>
      </c>
      <c r="S72" s="43"/>
      <c r="T72" s="43">
        <v>958</v>
      </c>
      <c r="U72" s="43">
        <v>-958</v>
      </c>
      <c r="V72" s="43"/>
      <c r="W72" s="43"/>
      <c r="X72" s="43">
        <f t="shared" si="26"/>
        <v>480.11656315449636</v>
      </c>
      <c r="Y72" s="43">
        <v>351</v>
      </c>
      <c r="Z72" s="43">
        <f>Y72</f>
        <v>351</v>
      </c>
      <c r="AA72" s="43"/>
      <c r="AB72" s="43"/>
      <c r="AC72" s="43"/>
      <c r="AD72" s="43">
        <f t="shared" si="27"/>
        <v>351</v>
      </c>
      <c r="AE72" s="43">
        <v>481.6</v>
      </c>
      <c r="AF72" s="43"/>
      <c r="AG72" s="43"/>
      <c r="AH72" s="42">
        <f t="shared" si="28"/>
        <v>481.6</v>
      </c>
      <c r="AI72" s="41">
        <v>680.3</v>
      </c>
      <c r="AJ72" s="40">
        <v>1128.7</v>
      </c>
      <c r="AK72" s="49">
        <v>583.6</v>
      </c>
      <c r="AL72" s="39">
        <f t="shared" si="29"/>
        <v>583.6</v>
      </c>
      <c r="AM72" s="49"/>
      <c r="AN72" s="49">
        <f t="shared" si="30"/>
        <v>583.6</v>
      </c>
      <c r="AO72" s="49">
        <f>1101.9/3</f>
        <v>367.3</v>
      </c>
    </row>
    <row r="73" spans="1:41" s="18" customFormat="1" ht="13.2" x14ac:dyDescent="0.25">
      <c r="A73" s="46">
        <v>12810</v>
      </c>
      <c r="B73" s="45" t="s">
        <v>232</v>
      </c>
      <c r="C73" s="43">
        <v>30000</v>
      </c>
      <c r="D73" s="43">
        <f t="shared" si="20"/>
        <v>2500</v>
      </c>
      <c r="E73" s="43"/>
      <c r="F73" s="43"/>
      <c r="G73" s="43">
        <f t="shared" si="21"/>
        <v>6990</v>
      </c>
      <c r="H73" s="44">
        <v>9.3859499999999998E-2</v>
      </c>
      <c r="I73" s="43">
        <f>7990664.7*H73/100</f>
        <v>7499.9979340965001</v>
      </c>
      <c r="J73" s="43"/>
      <c r="K73" s="43"/>
      <c r="L73" s="43">
        <f t="shared" si="31"/>
        <v>7499.9979340965001</v>
      </c>
      <c r="M73" s="43">
        <v>2180</v>
      </c>
      <c r="N73" s="43">
        <f t="shared" si="22"/>
        <v>-5319.9979340965001</v>
      </c>
      <c r="O73" s="43">
        <f t="shared" si="23"/>
        <v>29.066674673192662</v>
      </c>
      <c r="P73" s="43">
        <v>7500</v>
      </c>
      <c r="Q73" s="44">
        <f t="shared" si="24"/>
        <v>3.0600217014291043E-2</v>
      </c>
      <c r="R73" s="43">
        <f t="shared" si="25"/>
        <v>1897.7939410028057</v>
      </c>
      <c r="S73" s="43"/>
      <c r="T73" s="43"/>
      <c r="U73" s="43">
        <v>550</v>
      </c>
      <c r="V73" s="43"/>
      <c r="W73" s="43"/>
      <c r="X73" s="43">
        <f t="shared" si="26"/>
        <v>2447.7939410028057</v>
      </c>
      <c r="Y73" s="43"/>
      <c r="Z73" s="43">
        <f>D73</f>
        <v>2500</v>
      </c>
      <c r="AA73" s="43"/>
      <c r="AB73" s="43"/>
      <c r="AC73" s="43"/>
      <c r="AD73" s="43">
        <f t="shared" si="27"/>
        <v>2500</v>
      </c>
      <c r="AE73" s="42">
        <f>9627.6</f>
        <v>9627.6</v>
      </c>
      <c r="AF73" s="42"/>
      <c r="AG73" s="42"/>
      <c r="AH73" s="42">
        <f t="shared" si="28"/>
        <v>9627.6</v>
      </c>
      <c r="AI73" s="41">
        <v>4761.3</v>
      </c>
      <c r="AJ73" s="40">
        <v>4620</v>
      </c>
      <c r="AK73" s="49">
        <f>10979.3-5000</f>
        <v>5979.2999999999993</v>
      </c>
      <c r="AL73" s="39">
        <f t="shared" si="29"/>
        <v>5979.2999999999993</v>
      </c>
      <c r="AM73" s="49"/>
      <c r="AN73" s="49">
        <f t="shared" si="30"/>
        <v>5979.2999999999993</v>
      </c>
      <c r="AO73" s="49">
        <f>7500/3</f>
        <v>2500</v>
      </c>
    </row>
    <row r="74" spans="1:41" s="18" customFormat="1" ht="13.2" x14ac:dyDescent="0.25">
      <c r="A74" s="46">
        <v>13120</v>
      </c>
      <c r="B74" s="45" t="s">
        <v>231</v>
      </c>
      <c r="C74" s="43">
        <v>5448.5</v>
      </c>
      <c r="D74" s="43">
        <f t="shared" si="20"/>
        <v>454.04166666666669</v>
      </c>
      <c r="E74" s="43">
        <v>441</v>
      </c>
      <c r="F74" s="43">
        <v>335</v>
      </c>
      <c r="G74" s="43">
        <f t="shared" si="21"/>
        <v>1269.5005000000001</v>
      </c>
      <c r="H74" s="44">
        <f t="shared" ref="H74:H100" si="32">(E74+F74)/(8725103.2+9421212.6)*100</f>
        <v>4.276350133838187E-3</v>
      </c>
      <c r="I74" s="43">
        <v>499</v>
      </c>
      <c r="J74" s="43"/>
      <c r="K74" s="43"/>
      <c r="L74" s="43">
        <f t="shared" si="31"/>
        <v>499</v>
      </c>
      <c r="M74" s="43">
        <v>499</v>
      </c>
      <c r="N74" s="43">
        <f t="shared" si="22"/>
        <v>0</v>
      </c>
      <c r="O74" s="43">
        <f t="shared" si="23"/>
        <v>100</v>
      </c>
      <c r="P74" s="43">
        <v>1395.3000000000002</v>
      </c>
      <c r="Q74" s="44">
        <f t="shared" si="24"/>
        <v>5.6928643733387069E-3</v>
      </c>
      <c r="R74" s="43">
        <f t="shared" si="25"/>
        <v>353.06558478416207</v>
      </c>
      <c r="S74" s="43"/>
      <c r="T74" s="43"/>
      <c r="U74" s="43"/>
      <c r="V74" s="43"/>
      <c r="W74" s="43"/>
      <c r="X74" s="43">
        <f t="shared" si="26"/>
        <v>353.06558478416207</v>
      </c>
      <c r="Y74" s="43">
        <v>437</v>
      </c>
      <c r="Z74" s="43">
        <f>Y74</f>
        <v>437</v>
      </c>
      <c r="AA74" s="43"/>
      <c r="AB74" s="43"/>
      <c r="AC74" s="43"/>
      <c r="AD74" s="43">
        <f t="shared" si="27"/>
        <v>437</v>
      </c>
      <c r="AE74" s="43">
        <v>634.79999999999995</v>
      </c>
      <c r="AF74" s="43"/>
      <c r="AG74" s="43"/>
      <c r="AH74" s="42">
        <f t="shared" si="28"/>
        <v>634.79999999999995</v>
      </c>
      <c r="AI74" s="41">
        <v>437.7</v>
      </c>
      <c r="AJ74" s="40">
        <v>326.3</v>
      </c>
      <c r="AK74" s="49">
        <v>646.29999999999995</v>
      </c>
      <c r="AL74" s="39">
        <f t="shared" si="29"/>
        <v>646.29999999999995</v>
      </c>
      <c r="AM74" s="49"/>
      <c r="AN74" s="49">
        <f t="shared" si="30"/>
        <v>646.29999999999995</v>
      </c>
      <c r="AO74" s="49">
        <f>1310.8/3</f>
        <v>436.93333333333334</v>
      </c>
    </row>
    <row r="75" spans="1:41" s="18" customFormat="1" ht="13.2" x14ac:dyDescent="0.25">
      <c r="A75" s="46">
        <v>14110</v>
      </c>
      <c r="B75" s="45" t="s">
        <v>230</v>
      </c>
      <c r="C75" s="43">
        <f>188691.8+5217.6</f>
        <v>193909.4</v>
      </c>
      <c r="D75" s="43">
        <f t="shared" si="20"/>
        <v>16159.116666666667</v>
      </c>
      <c r="E75" s="43">
        <v>12415.3</v>
      </c>
      <c r="F75" s="43">
        <v>14490.5</v>
      </c>
      <c r="G75" s="43">
        <f t="shared" si="21"/>
        <v>45180.890199999994</v>
      </c>
      <c r="H75" s="44">
        <f t="shared" si="32"/>
        <v>0.14827141936987565</v>
      </c>
      <c r="I75" s="43">
        <v>16037.9</v>
      </c>
      <c r="J75" s="43"/>
      <c r="K75" s="43"/>
      <c r="L75" s="43">
        <f t="shared" si="31"/>
        <v>16037.9</v>
      </c>
      <c r="M75" s="43">
        <v>14313.7</v>
      </c>
      <c r="N75" s="43">
        <f t="shared" si="22"/>
        <v>-1724.1999999999989</v>
      </c>
      <c r="O75" s="43">
        <f t="shared" si="23"/>
        <v>89.249215919790004</v>
      </c>
      <c r="P75" s="43">
        <v>51603.3</v>
      </c>
      <c r="Q75" s="44">
        <f t="shared" si="24"/>
        <v>0.21054295715380872</v>
      </c>
      <c r="R75" s="43">
        <f t="shared" si="25"/>
        <v>13057.657343433348</v>
      </c>
      <c r="S75" s="43"/>
      <c r="T75" s="43">
        <f>2600+380.1</f>
        <v>2980.1</v>
      </c>
      <c r="U75" s="43"/>
      <c r="V75" s="43"/>
      <c r="W75" s="43"/>
      <c r="X75" s="43">
        <f t="shared" si="26"/>
        <v>16037.757343433348</v>
      </c>
      <c r="Y75" s="43">
        <v>13740</v>
      </c>
      <c r="Z75" s="43">
        <f>Y75</f>
        <v>13740</v>
      </c>
      <c r="AA75" s="43"/>
      <c r="AB75" s="43"/>
      <c r="AC75" s="43"/>
      <c r="AD75" s="43">
        <f t="shared" si="27"/>
        <v>13740</v>
      </c>
      <c r="AE75" s="43">
        <f>20316.8-4000</f>
        <v>16316.8</v>
      </c>
      <c r="AF75" s="43"/>
      <c r="AG75" s="43"/>
      <c r="AH75" s="42">
        <f t="shared" si="28"/>
        <v>16316.8</v>
      </c>
      <c r="AI75" s="41">
        <v>20832.400000000001</v>
      </c>
      <c r="AJ75" s="40">
        <v>25121.1</v>
      </c>
      <c r="AK75" s="49">
        <f>21523.7-7000</f>
        <v>14523.7</v>
      </c>
      <c r="AL75" s="39">
        <f t="shared" si="29"/>
        <v>14523.7</v>
      </c>
      <c r="AM75" s="49"/>
      <c r="AN75" s="49">
        <f t="shared" si="30"/>
        <v>14523.7</v>
      </c>
      <c r="AO75" s="49">
        <f>40363.4/3</f>
        <v>13454.466666666667</v>
      </c>
    </row>
    <row r="76" spans="1:41" s="18" customFormat="1" ht="13.2" x14ac:dyDescent="0.25">
      <c r="A76" s="46">
        <v>14810</v>
      </c>
      <c r="B76" s="45" t="s">
        <v>229</v>
      </c>
      <c r="C76" s="43">
        <v>30000</v>
      </c>
      <c r="D76" s="43">
        <f t="shared" si="20"/>
        <v>2500</v>
      </c>
      <c r="E76" s="43"/>
      <c r="F76" s="43">
        <v>350</v>
      </c>
      <c r="G76" s="43">
        <f t="shared" si="21"/>
        <v>6990</v>
      </c>
      <c r="H76" s="44">
        <f t="shared" si="32"/>
        <v>1.9287661686125843E-3</v>
      </c>
      <c r="I76" s="43">
        <v>7150</v>
      </c>
      <c r="J76" s="43"/>
      <c r="K76" s="43"/>
      <c r="L76" s="43">
        <f t="shared" si="31"/>
        <v>7150</v>
      </c>
      <c r="M76" s="43">
        <v>6442</v>
      </c>
      <c r="N76" s="43">
        <f t="shared" si="22"/>
        <v>-708</v>
      </c>
      <c r="O76" s="43">
        <f t="shared" si="23"/>
        <v>90.097902097902093</v>
      </c>
      <c r="P76" s="43">
        <v>7500</v>
      </c>
      <c r="Q76" s="44">
        <f t="shared" si="24"/>
        <v>3.0600217014291043E-2</v>
      </c>
      <c r="R76" s="43">
        <f t="shared" si="25"/>
        <v>1897.7939410028057</v>
      </c>
      <c r="S76" s="43">
        <v>9681.2999999999993</v>
      </c>
      <c r="T76" s="43">
        <f>1207</f>
        <v>1207</v>
      </c>
      <c r="U76" s="43">
        <v>500</v>
      </c>
      <c r="V76" s="43"/>
      <c r="W76" s="43"/>
      <c r="X76" s="43">
        <f t="shared" si="26"/>
        <v>13286.093941002804</v>
      </c>
      <c r="Y76" s="43"/>
      <c r="Z76" s="43">
        <f>D76</f>
        <v>2500</v>
      </c>
      <c r="AA76" s="43"/>
      <c r="AB76" s="43"/>
      <c r="AC76" s="43"/>
      <c r="AD76" s="43">
        <f t="shared" si="27"/>
        <v>2500</v>
      </c>
      <c r="AE76" s="43">
        <v>1659.575</v>
      </c>
      <c r="AF76" s="43"/>
      <c r="AG76" s="43"/>
      <c r="AH76" s="42">
        <f t="shared" si="28"/>
        <v>1659.575</v>
      </c>
      <c r="AI76" s="41">
        <v>2000</v>
      </c>
      <c r="AJ76" s="40">
        <v>2871.2</v>
      </c>
      <c r="AK76" s="49">
        <f>3242.875-1200</f>
        <v>2042.875</v>
      </c>
      <c r="AL76" s="39">
        <f t="shared" si="29"/>
        <v>2042.875</v>
      </c>
      <c r="AM76" s="49"/>
      <c r="AN76" s="49">
        <f t="shared" si="30"/>
        <v>2042.875</v>
      </c>
      <c r="AO76" s="114">
        <v>2257.8000000000002</v>
      </c>
    </row>
    <row r="77" spans="1:41" s="18" customFormat="1" ht="13.2" x14ac:dyDescent="0.25">
      <c r="A77" s="46">
        <v>15120</v>
      </c>
      <c r="B77" s="45" t="s">
        <v>228</v>
      </c>
      <c r="C77" s="43">
        <f>378971.1+3950.6+12037.8</f>
        <v>394959.49999999994</v>
      </c>
      <c r="D77" s="43">
        <f t="shared" si="20"/>
        <v>32913.291666666664</v>
      </c>
      <c r="E77" s="43">
        <v>26663.4</v>
      </c>
      <c r="F77" s="43">
        <v>28196.5</v>
      </c>
      <c r="G77" s="43">
        <f t="shared" si="21"/>
        <v>92025.563499999989</v>
      </c>
      <c r="H77" s="44">
        <f t="shared" si="32"/>
        <v>0.30231976895277007</v>
      </c>
      <c r="I77" s="43">
        <v>37563.5</v>
      </c>
      <c r="J77" s="43"/>
      <c r="K77" s="43">
        <v>100</v>
      </c>
      <c r="L77" s="43">
        <f t="shared" si="31"/>
        <v>37663.5</v>
      </c>
      <c r="M77" s="43">
        <v>37560.199999999997</v>
      </c>
      <c r="N77" s="43">
        <f t="shared" si="22"/>
        <v>-103.30000000000291</v>
      </c>
      <c r="O77" s="43">
        <f t="shared" si="23"/>
        <v>99.725729154220915</v>
      </c>
      <c r="P77" s="43">
        <v>104489.4</v>
      </c>
      <c r="Q77" s="44">
        <f t="shared" si="24"/>
        <v>0.42631977542574168</v>
      </c>
      <c r="R77" s="43">
        <f t="shared" si="25"/>
        <v>26439.913362535812</v>
      </c>
      <c r="S77" s="43"/>
      <c r="T77" s="43">
        <f>317.9+5159.5+507.3+1953</f>
        <v>7937.7</v>
      </c>
      <c r="U77" s="43">
        <v>958</v>
      </c>
      <c r="V77" s="43"/>
      <c r="W77" s="43"/>
      <c r="X77" s="43">
        <f t="shared" si="26"/>
        <v>35335.613362535812</v>
      </c>
      <c r="Y77" s="43">
        <v>27706</v>
      </c>
      <c r="Z77" s="43">
        <f t="shared" ref="Z77:Z97" si="33">Y77</f>
        <v>27706</v>
      </c>
      <c r="AA77" s="43"/>
      <c r="AB77" s="43">
        <v>500</v>
      </c>
      <c r="AC77" s="43">
        <v>2330.6</v>
      </c>
      <c r="AD77" s="43">
        <f t="shared" si="27"/>
        <v>30536.6</v>
      </c>
      <c r="AE77" s="43">
        <v>33742.399999999994</v>
      </c>
      <c r="AF77" s="43"/>
      <c r="AG77" s="43"/>
      <c r="AH77" s="42">
        <f t="shared" si="28"/>
        <v>33742.399999999994</v>
      </c>
      <c r="AI77" s="41">
        <v>33550.6</v>
      </c>
      <c r="AJ77" s="40">
        <v>35915.1</v>
      </c>
      <c r="AK77" s="49">
        <f>39786.8-6000</f>
        <v>33786.800000000003</v>
      </c>
      <c r="AL77" s="39">
        <f t="shared" si="29"/>
        <v>33786.800000000003</v>
      </c>
      <c r="AM77" s="49"/>
      <c r="AN77" s="49">
        <f t="shared" si="30"/>
        <v>33786.800000000003</v>
      </c>
      <c r="AO77" s="114">
        <f>79997.9/7+7426.7</f>
        <v>18854.971428571429</v>
      </c>
    </row>
    <row r="78" spans="1:41" s="18" customFormat="1" ht="13.2" x14ac:dyDescent="0.25">
      <c r="A78" s="46">
        <v>15130</v>
      </c>
      <c r="B78" s="45" t="s">
        <v>227</v>
      </c>
      <c r="C78" s="43">
        <v>19000</v>
      </c>
      <c r="D78" s="43">
        <f t="shared" si="20"/>
        <v>1583.3333333333333</v>
      </c>
      <c r="E78" s="43">
        <v>500</v>
      </c>
      <c r="F78" s="43">
        <v>1000</v>
      </c>
      <c r="G78" s="43">
        <f t="shared" si="21"/>
        <v>4427</v>
      </c>
      <c r="H78" s="44">
        <f t="shared" si="32"/>
        <v>8.2661407226253623E-3</v>
      </c>
      <c r="I78" s="43">
        <v>2185.3000000000002</v>
      </c>
      <c r="J78" s="43"/>
      <c r="K78" s="43"/>
      <c r="L78" s="43">
        <f t="shared" si="31"/>
        <v>2185.3000000000002</v>
      </c>
      <c r="M78" s="43">
        <v>0</v>
      </c>
      <c r="N78" s="43">
        <f t="shared" si="22"/>
        <v>-2185.3000000000002</v>
      </c>
      <c r="O78" s="43">
        <f t="shared" si="23"/>
        <v>0</v>
      </c>
      <c r="P78" s="43">
        <v>5147.4000000000005</v>
      </c>
      <c r="Q78" s="44">
        <f t="shared" si="24"/>
        <v>2.1001540941248231E-2</v>
      </c>
      <c r="R78" s="43">
        <f t="shared" si="25"/>
        <v>1302.4939375890458</v>
      </c>
      <c r="S78" s="43"/>
      <c r="T78" s="43"/>
      <c r="U78" s="43"/>
      <c r="V78" s="43"/>
      <c r="W78" s="43"/>
      <c r="X78" s="43">
        <f t="shared" si="26"/>
        <v>1302.4939375890458</v>
      </c>
      <c r="Y78" s="43">
        <v>578</v>
      </c>
      <c r="Z78" s="43">
        <f t="shared" si="33"/>
        <v>578</v>
      </c>
      <c r="AA78" s="43"/>
      <c r="AB78" s="43"/>
      <c r="AC78" s="43"/>
      <c r="AD78" s="43">
        <f t="shared" si="27"/>
        <v>578</v>
      </c>
      <c r="AE78" s="43">
        <f>3333.2-2000</f>
        <v>1333.1999999999998</v>
      </c>
      <c r="AF78" s="43"/>
      <c r="AG78" s="43"/>
      <c r="AH78" s="42">
        <f t="shared" si="28"/>
        <v>1333.1999999999998</v>
      </c>
      <c r="AI78" s="41">
        <f>1800</f>
        <v>1800</v>
      </c>
      <c r="AJ78" s="40">
        <v>1077.8</v>
      </c>
      <c r="AK78" s="49">
        <v>1125.4086021505375</v>
      </c>
      <c r="AL78" s="39">
        <f t="shared" si="29"/>
        <v>1125.4086021505375</v>
      </c>
      <c r="AM78" s="49"/>
      <c r="AN78" s="49">
        <f t="shared" si="30"/>
        <v>1125.4086021505375</v>
      </c>
      <c r="AO78" s="114">
        <f>2337.4/3</f>
        <v>779.13333333333333</v>
      </c>
    </row>
    <row r="79" spans="1:41" s="18" customFormat="1" ht="13.2" x14ac:dyDescent="0.25">
      <c r="A79" s="46">
        <v>15140</v>
      </c>
      <c r="B79" s="45" t="s">
        <v>226</v>
      </c>
      <c r="C79" s="43">
        <v>73731.3</v>
      </c>
      <c r="D79" s="43">
        <f t="shared" si="20"/>
        <v>6144.2750000000005</v>
      </c>
      <c r="E79" s="43"/>
      <c r="F79" s="43">
        <v>158687.20000000001</v>
      </c>
      <c r="G79" s="43">
        <f t="shared" si="21"/>
        <v>17179.392899999999</v>
      </c>
      <c r="H79" s="44">
        <f t="shared" si="32"/>
        <v>0.87448715071959693</v>
      </c>
      <c r="I79" s="43">
        <v>31873.9</v>
      </c>
      <c r="J79" s="43"/>
      <c r="K79" s="43"/>
      <c r="L79" s="43">
        <f t="shared" si="31"/>
        <v>31873.9</v>
      </c>
      <c r="M79" s="43">
        <v>31368</v>
      </c>
      <c r="N79" s="43">
        <f t="shared" si="22"/>
        <v>-505.90000000000146</v>
      </c>
      <c r="O79" s="43">
        <f t="shared" si="23"/>
        <v>98.412807971412349</v>
      </c>
      <c r="P79" s="43">
        <v>155015.1</v>
      </c>
      <c r="Q79" s="44">
        <f t="shared" si="24"/>
        <v>0.63246609339893711</v>
      </c>
      <c r="R79" s="43">
        <f t="shared" si="25"/>
        <v>39224.895672525883</v>
      </c>
      <c r="S79" s="43">
        <v>2000</v>
      </c>
      <c r="T79" s="43"/>
      <c r="U79" s="43"/>
      <c r="V79" s="43"/>
      <c r="W79" s="43"/>
      <c r="X79" s="43">
        <f t="shared" si="26"/>
        <v>41224.895672525883</v>
      </c>
      <c r="Y79" s="43">
        <v>33</v>
      </c>
      <c r="Z79" s="43">
        <f t="shared" si="33"/>
        <v>33</v>
      </c>
      <c r="AA79" s="43"/>
      <c r="AB79" s="43"/>
      <c r="AC79" s="43"/>
      <c r="AD79" s="43">
        <f t="shared" si="27"/>
        <v>33</v>
      </c>
      <c r="AE79" s="43">
        <v>0</v>
      </c>
      <c r="AF79" s="43"/>
      <c r="AG79" s="43">
        <v>543.6</v>
      </c>
      <c r="AH79" s="42">
        <f t="shared" si="28"/>
        <v>543.6</v>
      </c>
      <c r="AI79" s="41">
        <v>66490</v>
      </c>
      <c r="AJ79" s="40">
        <v>58200</v>
      </c>
      <c r="AK79" s="49">
        <f>52125.76-50000</f>
        <v>2125.760000000002</v>
      </c>
      <c r="AL79" s="39">
        <f t="shared" si="29"/>
        <v>2125.760000000002</v>
      </c>
      <c r="AM79" s="49"/>
      <c r="AN79" s="49">
        <f t="shared" si="30"/>
        <v>2125.760000000002</v>
      </c>
      <c r="AO79" s="49"/>
    </row>
    <row r="80" spans="1:41" s="18" customFormat="1" ht="13.2" x14ac:dyDescent="0.25">
      <c r="A80" s="46">
        <v>16110</v>
      </c>
      <c r="B80" s="45" t="s">
        <v>225</v>
      </c>
      <c r="C80" s="43">
        <v>129548</v>
      </c>
      <c r="D80" s="43">
        <f t="shared" si="20"/>
        <v>10795.666666666666</v>
      </c>
      <c r="E80" s="43">
        <v>9281.2999999999993</v>
      </c>
      <c r="F80" s="43">
        <v>4193</v>
      </c>
      <c r="G80" s="43">
        <f t="shared" si="21"/>
        <v>30184.683999999997</v>
      </c>
      <c r="H80" s="44">
        <f t="shared" si="32"/>
        <v>7.4253639959247275E-2</v>
      </c>
      <c r="I80" s="43">
        <f>7990664.7*H80/100</f>
        <v>5933.3593966886665</v>
      </c>
      <c r="J80" s="43">
        <f>14092.6-I80</f>
        <v>8159.2406033113339</v>
      </c>
      <c r="K80" s="43"/>
      <c r="L80" s="43">
        <f t="shared" si="31"/>
        <v>14092.6</v>
      </c>
      <c r="M80" s="43">
        <v>12632.7</v>
      </c>
      <c r="N80" s="43">
        <f t="shared" si="22"/>
        <v>-1459.8999999999996</v>
      </c>
      <c r="O80" s="43">
        <f t="shared" si="23"/>
        <v>89.640662475341671</v>
      </c>
      <c r="P80" s="43">
        <v>36086.5</v>
      </c>
      <c r="Q80" s="44">
        <f t="shared" si="24"/>
        <v>0.14723396417149517</v>
      </c>
      <c r="R80" s="43">
        <f t="shared" si="25"/>
        <v>9131.2988069330349</v>
      </c>
      <c r="S80" s="43"/>
      <c r="T80" s="43"/>
      <c r="U80" s="43"/>
      <c r="V80" s="43"/>
      <c r="W80" s="43"/>
      <c r="X80" s="43">
        <f t="shared" si="26"/>
        <v>9131.2988069330349</v>
      </c>
      <c r="Y80" s="43">
        <v>8852</v>
      </c>
      <c r="Z80" s="43">
        <f t="shared" si="33"/>
        <v>8852</v>
      </c>
      <c r="AA80" s="43"/>
      <c r="AB80" s="43"/>
      <c r="AC80" s="43"/>
      <c r="AD80" s="43">
        <f t="shared" si="27"/>
        <v>8852</v>
      </c>
      <c r="AE80" s="43">
        <f>15631.3-2000</f>
        <v>13631.3</v>
      </c>
      <c r="AF80" s="43"/>
      <c r="AG80" s="43"/>
      <c r="AH80" s="42">
        <f t="shared" si="28"/>
        <v>13631.3</v>
      </c>
      <c r="AI80" s="41">
        <f>11263.2+8225</f>
        <v>19488.2</v>
      </c>
      <c r="AJ80" s="40">
        <v>11290</v>
      </c>
      <c r="AK80" s="49">
        <f>17737.9-5000</f>
        <v>12737.900000000001</v>
      </c>
      <c r="AL80" s="39">
        <f t="shared" si="29"/>
        <v>12737.900000000001</v>
      </c>
      <c r="AM80" s="49"/>
      <c r="AN80" s="49">
        <f t="shared" si="30"/>
        <v>12737.900000000001</v>
      </c>
      <c r="AO80" s="49">
        <f>26958.8/3</f>
        <v>8986.2666666666664</v>
      </c>
    </row>
    <row r="81" spans="1:41" s="18" customFormat="1" ht="13.2" x14ac:dyDescent="0.25">
      <c r="A81" s="46">
        <v>16120</v>
      </c>
      <c r="B81" s="45" t="s">
        <v>224</v>
      </c>
      <c r="C81" s="43">
        <v>34533</v>
      </c>
      <c r="D81" s="43">
        <f t="shared" si="20"/>
        <v>2877.75</v>
      </c>
      <c r="E81" s="43">
        <v>2483.3000000000002</v>
      </c>
      <c r="F81" s="43">
        <v>869.7</v>
      </c>
      <c r="G81" s="43">
        <f t="shared" si="21"/>
        <v>8046.1890000000003</v>
      </c>
      <c r="H81" s="44">
        <f t="shared" si="32"/>
        <v>1.8477579895308557E-2</v>
      </c>
      <c r="I81" s="43">
        <v>4055.7</v>
      </c>
      <c r="J81" s="43"/>
      <c r="K81" s="43"/>
      <c r="L81" s="43">
        <f t="shared" si="31"/>
        <v>4055.7</v>
      </c>
      <c r="M81" s="43">
        <v>1590.2</v>
      </c>
      <c r="N81" s="43">
        <f t="shared" si="22"/>
        <v>-2465.5</v>
      </c>
      <c r="O81" s="43">
        <f t="shared" si="23"/>
        <v>39.20901447345711</v>
      </c>
      <c r="P81" s="43">
        <v>11579.3</v>
      </c>
      <c r="Q81" s="44">
        <f t="shared" si="24"/>
        <v>4.7243879049810707E-2</v>
      </c>
      <c r="R81" s="43">
        <f t="shared" si="25"/>
        <v>2930.016717473839</v>
      </c>
      <c r="S81" s="43"/>
      <c r="T81" s="43"/>
      <c r="U81" s="43"/>
      <c r="V81" s="43"/>
      <c r="W81" s="43"/>
      <c r="X81" s="43">
        <f t="shared" si="26"/>
        <v>2930.016717473839</v>
      </c>
      <c r="Y81" s="43">
        <v>1749</v>
      </c>
      <c r="Z81" s="43">
        <f t="shared" si="33"/>
        <v>1749</v>
      </c>
      <c r="AA81" s="43"/>
      <c r="AB81" s="43"/>
      <c r="AC81" s="43"/>
      <c r="AD81" s="43">
        <f t="shared" si="27"/>
        <v>1749</v>
      </c>
      <c r="AE81" s="43">
        <f>7252-4000</f>
        <v>3252</v>
      </c>
      <c r="AF81" s="43"/>
      <c r="AG81" s="43"/>
      <c r="AH81" s="42">
        <f t="shared" si="28"/>
        <v>3252</v>
      </c>
      <c r="AI81" s="41">
        <v>2000</v>
      </c>
      <c r="AJ81" s="40">
        <v>2000</v>
      </c>
      <c r="AK81" s="49">
        <f>2202.4-700</f>
        <v>1502.4</v>
      </c>
      <c r="AL81" s="39">
        <f t="shared" si="29"/>
        <v>1502.4</v>
      </c>
      <c r="AM81" s="49"/>
      <c r="AN81" s="49">
        <f t="shared" si="30"/>
        <v>1502.4</v>
      </c>
      <c r="AO81" s="49">
        <f>5974.6/3</f>
        <v>1991.5333333333335</v>
      </c>
    </row>
    <row r="82" spans="1:41" s="18" customFormat="1" ht="20.399999999999999" x14ac:dyDescent="0.25">
      <c r="A82" s="46">
        <v>16210</v>
      </c>
      <c r="B82" s="45" t="s">
        <v>223</v>
      </c>
      <c r="C82" s="43">
        <v>45454.9</v>
      </c>
      <c r="D82" s="43">
        <f t="shared" si="20"/>
        <v>3787.9083333333333</v>
      </c>
      <c r="E82" s="43">
        <v>2538.8000000000002</v>
      </c>
      <c r="F82" s="43">
        <v>2656</v>
      </c>
      <c r="G82" s="43">
        <f t="shared" si="21"/>
        <v>10590.991700000002</v>
      </c>
      <c r="H82" s="44">
        <f t="shared" si="32"/>
        <v>2.8627298550596158E-2</v>
      </c>
      <c r="I82" s="43">
        <v>5480.2</v>
      </c>
      <c r="J82" s="43"/>
      <c r="K82" s="43"/>
      <c r="L82" s="43">
        <f t="shared" si="31"/>
        <v>5480.2</v>
      </c>
      <c r="M82" s="43">
        <v>5480.2</v>
      </c>
      <c r="N82" s="43">
        <f t="shared" si="22"/>
        <v>0</v>
      </c>
      <c r="O82" s="43">
        <f t="shared" si="23"/>
        <v>100</v>
      </c>
      <c r="P82" s="43">
        <v>11889.300000000001</v>
      </c>
      <c r="Q82" s="44">
        <f t="shared" si="24"/>
        <v>4.8508688019734743E-2</v>
      </c>
      <c r="R82" s="43">
        <f t="shared" si="25"/>
        <v>3008.4588670352887</v>
      </c>
      <c r="S82" s="43"/>
      <c r="T82" s="43"/>
      <c r="U82" s="43"/>
      <c r="V82" s="43"/>
      <c r="W82" s="43"/>
      <c r="X82" s="43">
        <f t="shared" si="26"/>
        <v>3008.4588670352887</v>
      </c>
      <c r="Y82" s="43">
        <v>3199</v>
      </c>
      <c r="Z82" s="43">
        <f t="shared" si="33"/>
        <v>3199</v>
      </c>
      <c r="AA82" s="43"/>
      <c r="AB82" s="43"/>
      <c r="AC82" s="43"/>
      <c r="AD82" s="43">
        <f t="shared" si="27"/>
        <v>3199</v>
      </c>
      <c r="AE82" s="43">
        <v>4958.2</v>
      </c>
      <c r="AF82" s="43"/>
      <c r="AG82" s="43"/>
      <c r="AH82" s="42">
        <f t="shared" si="28"/>
        <v>4958.2</v>
      </c>
      <c r="AI82" s="41">
        <f>3200+2500</f>
        <v>5700</v>
      </c>
      <c r="AJ82" s="40">
        <v>5700</v>
      </c>
      <c r="AK82" s="49">
        <f>5949.2-1500</f>
        <v>4449.2</v>
      </c>
      <c r="AL82" s="39">
        <f t="shared" si="29"/>
        <v>4449.2</v>
      </c>
      <c r="AM82" s="49"/>
      <c r="AN82" s="49">
        <f t="shared" si="30"/>
        <v>4449.2</v>
      </c>
      <c r="AO82" s="49">
        <f>9598.6/3</f>
        <v>3199.5333333333333</v>
      </c>
    </row>
    <row r="83" spans="1:41" s="18" customFormat="1" ht="20.399999999999999" x14ac:dyDescent="0.25">
      <c r="A83" s="46">
        <v>16310</v>
      </c>
      <c r="B83" s="45" t="s">
        <v>222</v>
      </c>
      <c r="C83" s="43">
        <f>19551.3+19533.3</f>
        <v>39084.6</v>
      </c>
      <c r="D83" s="43">
        <f t="shared" si="20"/>
        <v>3257.0499999999997</v>
      </c>
      <c r="E83" s="43">
        <v>2813.2</v>
      </c>
      <c r="F83" s="43">
        <v>4201.6000000000004</v>
      </c>
      <c r="G83" s="43">
        <f t="shared" si="21"/>
        <v>9106.7118000000009</v>
      </c>
      <c r="H83" s="44">
        <f t="shared" si="32"/>
        <v>3.8656882627381595E-2</v>
      </c>
      <c r="I83" s="43">
        <f>7990664.7*H83/100</f>
        <v>3088.9418742266134</v>
      </c>
      <c r="J83" s="43"/>
      <c r="K83" s="43"/>
      <c r="L83" s="43">
        <f t="shared" si="31"/>
        <v>3088.9418742266134</v>
      </c>
      <c r="M83" s="43">
        <v>493.9</v>
      </c>
      <c r="N83" s="43">
        <f t="shared" si="22"/>
        <v>-2595.0418742266133</v>
      </c>
      <c r="O83" s="43">
        <f t="shared" si="23"/>
        <v>15.989294072542529</v>
      </c>
      <c r="P83" s="43">
        <v>10554.7</v>
      </c>
      <c r="Q83" s="44">
        <f t="shared" si="24"/>
        <v>4.306348140276503E-2</v>
      </c>
      <c r="R83" s="43">
        <f t="shared" si="25"/>
        <v>2670.7527612136419</v>
      </c>
      <c r="S83" s="43"/>
      <c r="T83" s="43"/>
      <c r="U83" s="43"/>
      <c r="V83" s="43"/>
      <c r="W83" s="43"/>
      <c r="X83" s="43">
        <f t="shared" si="26"/>
        <v>2670.7527612136419</v>
      </c>
      <c r="Y83" s="43">
        <v>2157</v>
      </c>
      <c r="Z83" s="43">
        <f t="shared" si="33"/>
        <v>2157</v>
      </c>
      <c r="AA83" s="43"/>
      <c r="AB83" s="43"/>
      <c r="AC83" s="43"/>
      <c r="AD83" s="43">
        <f t="shared" si="27"/>
        <v>2157</v>
      </c>
      <c r="AE83" s="43">
        <v>4171.1000000000004</v>
      </c>
      <c r="AF83" s="43"/>
      <c r="AG83" s="43"/>
      <c r="AH83" s="42">
        <f t="shared" si="28"/>
        <v>4171.1000000000004</v>
      </c>
      <c r="AI83" s="41">
        <v>3259.3</v>
      </c>
      <c r="AJ83" s="40">
        <v>2562.3000000000002</v>
      </c>
      <c r="AK83" s="49">
        <f>5720.9-3000</f>
        <v>2720.8999999999996</v>
      </c>
      <c r="AL83" s="39">
        <f t="shared" si="29"/>
        <v>2720.8999999999996</v>
      </c>
      <c r="AM83" s="49"/>
      <c r="AN83" s="49">
        <f t="shared" si="30"/>
        <v>2720.8999999999996</v>
      </c>
      <c r="AO83" s="49">
        <f>7236.2/3</f>
        <v>2412.0666666666666</v>
      </c>
    </row>
    <row r="84" spans="1:41" s="18" customFormat="1" ht="20.399999999999999" x14ac:dyDescent="0.25">
      <c r="A84" s="46">
        <v>16320</v>
      </c>
      <c r="B84" s="45" t="s">
        <v>221</v>
      </c>
      <c r="C84" s="43">
        <v>888277.7</v>
      </c>
      <c r="D84" s="43">
        <f t="shared" si="20"/>
        <v>74023.141666666663</v>
      </c>
      <c r="E84" s="43">
        <v>67551.3</v>
      </c>
      <c r="F84" s="43">
        <v>107568.8</v>
      </c>
      <c r="G84" s="43">
        <f t="shared" si="21"/>
        <v>206968.7041</v>
      </c>
      <c r="H84" s="44">
        <f t="shared" si="32"/>
        <v>0.96504492664015051</v>
      </c>
      <c r="I84" s="43">
        <f>7990664.7*H84/100</f>
        <v>77113.504292175407</v>
      </c>
      <c r="J84" s="43"/>
      <c r="K84" s="43"/>
      <c r="L84" s="43">
        <f t="shared" si="31"/>
        <v>77113.504292175407</v>
      </c>
      <c r="M84" s="43">
        <v>23562.9</v>
      </c>
      <c r="N84" s="43">
        <f t="shared" si="22"/>
        <v>-53550.604292175405</v>
      </c>
      <c r="O84" s="43">
        <f t="shared" si="23"/>
        <v>30.556126603613443</v>
      </c>
      <c r="P84" s="43">
        <v>230395.99999999997</v>
      </c>
      <c r="Q84" s="44">
        <f t="shared" si="24"/>
        <v>0.94002234656327988</v>
      </c>
      <c r="R84" s="43">
        <f t="shared" si="25"/>
        <v>58299.217710837656</v>
      </c>
      <c r="S84" s="43"/>
      <c r="T84" s="43"/>
      <c r="U84" s="43"/>
      <c r="V84" s="43"/>
      <c r="W84" s="43"/>
      <c r="X84" s="43">
        <f t="shared" si="26"/>
        <v>58299.217710837656</v>
      </c>
      <c r="Y84" s="43">
        <v>58540</v>
      </c>
      <c r="Z84" s="43">
        <f t="shared" si="33"/>
        <v>58540</v>
      </c>
      <c r="AA84" s="43"/>
      <c r="AB84" s="43"/>
      <c r="AC84" s="43"/>
      <c r="AD84" s="43">
        <f t="shared" si="27"/>
        <v>58540</v>
      </c>
      <c r="AE84" s="43">
        <v>98432.5</v>
      </c>
      <c r="AF84" s="43"/>
      <c r="AG84" s="43"/>
      <c r="AH84" s="42">
        <f t="shared" si="28"/>
        <v>98432.5</v>
      </c>
      <c r="AI84" s="41">
        <v>72087.600000000006</v>
      </c>
      <c r="AJ84" s="40">
        <v>61578.1</v>
      </c>
      <c r="AK84" s="49">
        <f>74763.5-11000</f>
        <v>63763.5</v>
      </c>
      <c r="AL84" s="39">
        <f t="shared" si="29"/>
        <v>63763.5</v>
      </c>
      <c r="AM84" s="49"/>
      <c r="AN84" s="49">
        <f t="shared" si="30"/>
        <v>63763.5</v>
      </c>
      <c r="AO84" s="49">
        <f>180599.9/3</f>
        <v>60199.966666666667</v>
      </c>
    </row>
    <row r="85" spans="1:41" s="18" customFormat="1" ht="13.2" x14ac:dyDescent="0.25">
      <c r="A85" s="46">
        <v>17110</v>
      </c>
      <c r="B85" s="45" t="s">
        <v>220</v>
      </c>
      <c r="C85" s="43">
        <f>137196+17927.4</f>
        <v>155123.4</v>
      </c>
      <c r="D85" s="43">
        <f t="shared" si="20"/>
        <v>12926.949999999999</v>
      </c>
      <c r="E85" s="43">
        <v>12049.7</v>
      </c>
      <c r="F85" s="43">
        <v>12640.4</v>
      </c>
      <c r="G85" s="43">
        <f t="shared" si="21"/>
        <v>36143.752200000003</v>
      </c>
      <c r="H85" s="44">
        <f t="shared" si="32"/>
        <v>0.13606122737046161</v>
      </c>
      <c r="I85" s="43">
        <v>11307.7</v>
      </c>
      <c r="J85" s="43"/>
      <c r="K85" s="43"/>
      <c r="L85" s="43">
        <f t="shared" si="31"/>
        <v>11307.7</v>
      </c>
      <c r="M85" s="43">
        <v>10307.700000000001</v>
      </c>
      <c r="N85" s="43">
        <f t="shared" si="22"/>
        <v>-1000</v>
      </c>
      <c r="O85" s="43">
        <f t="shared" si="23"/>
        <v>91.15646860104178</v>
      </c>
      <c r="P85" s="43">
        <v>40555.199999999997</v>
      </c>
      <c r="Q85" s="44">
        <f t="shared" si="24"/>
        <v>0.16546638947439682</v>
      </c>
      <c r="R85" s="43">
        <f t="shared" si="25"/>
        <v>10262.055044820932</v>
      </c>
      <c r="S85" s="43"/>
      <c r="T85" s="43"/>
      <c r="U85" s="43"/>
      <c r="V85" s="43"/>
      <c r="W85" s="43"/>
      <c r="X85" s="43">
        <f t="shared" si="26"/>
        <v>10262.055044820932</v>
      </c>
      <c r="Y85" s="43">
        <v>12095</v>
      </c>
      <c r="Z85" s="43">
        <f t="shared" si="33"/>
        <v>12095</v>
      </c>
      <c r="AA85" s="43"/>
      <c r="AB85" s="43"/>
      <c r="AC85" s="43"/>
      <c r="AD85" s="43">
        <f t="shared" si="27"/>
        <v>12095</v>
      </c>
      <c r="AE85" s="43">
        <f>19339.8-6000</f>
        <v>13339.8</v>
      </c>
      <c r="AF85" s="43"/>
      <c r="AG85" s="43"/>
      <c r="AH85" s="42">
        <f t="shared" si="28"/>
        <v>13339.8</v>
      </c>
      <c r="AI85" s="41">
        <v>13006.1</v>
      </c>
      <c r="AJ85" s="40">
        <v>19114.900000000001</v>
      </c>
      <c r="AK85" s="49">
        <f>15914.8-2000</f>
        <v>13914.8</v>
      </c>
      <c r="AL85" s="39">
        <f t="shared" si="29"/>
        <v>13914.8</v>
      </c>
      <c r="AM85" s="49"/>
      <c r="AN85" s="49">
        <f t="shared" si="30"/>
        <v>13914.8</v>
      </c>
      <c r="AO85" s="49">
        <f>36329.3/3</f>
        <v>12109.766666666668</v>
      </c>
    </row>
    <row r="86" spans="1:41" s="18" customFormat="1" ht="13.2" x14ac:dyDescent="0.25">
      <c r="A86" s="46">
        <v>17120</v>
      </c>
      <c r="B86" s="45" t="s">
        <v>219</v>
      </c>
      <c r="C86" s="43">
        <f>77787.4+8872.6</f>
        <v>86660</v>
      </c>
      <c r="D86" s="43">
        <f t="shared" si="20"/>
        <v>7221.666666666667</v>
      </c>
      <c r="E86" s="43">
        <v>6684.7</v>
      </c>
      <c r="F86" s="43">
        <v>7388.3</v>
      </c>
      <c r="G86" s="43">
        <f t="shared" si="21"/>
        <v>20191.78</v>
      </c>
      <c r="H86" s="44">
        <f t="shared" si="32"/>
        <v>7.7552932259671151E-2</v>
      </c>
      <c r="I86" s="43">
        <f>7990664.7*H86/100+1024.7</f>
        <v>7221.6947818884555</v>
      </c>
      <c r="J86" s="43"/>
      <c r="K86" s="43"/>
      <c r="L86" s="43">
        <f t="shared" si="31"/>
        <v>7221.6947818884555</v>
      </c>
      <c r="M86" s="43">
        <v>6220.9</v>
      </c>
      <c r="N86" s="43">
        <f t="shared" si="22"/>
        <v>-1000.7947818884559</v>
      </c>
      <c r="O86" s="43">
        <f t="shared" si="23"/>
        <v>86.141829416574296</v>
      </c>
      <c r="P86" s="43">
        <v>22632.799999999996</v>
      </c>
      <c r="Q86" s="44">
        <f t="shared" si="24"/>
        <v>9.234247888547284E-2</v>
      </c>
      <c r="R86" s="43">
        <f t="shared" si="25"/>
        <v>5726.9854277237737</v>
      </c>
      <c r="S86" s="43"/>
      <c r="T86" s="43"/>
      <c r="U86" s="43"/>
      <c r="V86" s="43"/>
      <c r="W86" s="43"/>
      <c r="X86" s="43">
        <f t="shared" si="26"/>
        <v>5726.9854277237737</v>
      </c>
      <c r="Y86" s="43">
        <v>6987</v>
      </c>
      <c r="Z86" s="43">
        <f t="shared" si="33"/>
        <v>6987</v>
      </c>
      <c r="AA86" s="43"/>
      <c r="AB86" s="43"/>
      <c r="AC86" s="43"/>
      <c r="AD86" s="43">
        <f t="shared" si="27"/>
        <v>6987</v>
      </c>
      <c r="AE86" s="43">
        <f>9988.4-2000</f>
        <v>7988.4</v>
      </c>
      <c r="AF86" s="43"/>
      <c r="AG86" s="43"/>
      <c r="AH86" s="42">
        <f t="shared" si="28"/>
        <v>7988.4</v>
      </c>
      <c r="AI86" s="41">
        <v>5833.6</v>
      </c>
      <c r="AJ86" s="40">
        <v>8536.2000000000007</v>
      </c>
      <c r="AK86" s="49">
        <f>9699.3-2000</f>
        <v>7699.2999999999993</v>
      </c>
      <c r="AL86" s="39">
        <f t="shared" si="29"/>
        <v>7699.2999999999993</v>
      </c>
      <c r="AM86" s="49"/>
      <c r="AN86" s="49">
        <f t="shared" si="30"/>
        <v>7699.2999999999993</v>
      </c>
      <c r="AO86" s="49">
        <f>21103.7/3</f>
        <v>7034.5666666666666</v>
      </c>
    </row>
    <row r="87" spans="1:41" s="18" customFormat="1" ht="20.399999999999999" x14ac:dyDescent="0.25">
      <c r="A87" s="46">
        <v>18110</v>
      </c>
      <c r="B87" s="45" t="s">
        <v>218</v>
      </c>
      <c r="C87" s="43">
        <v>74016.100000000006</v>
      </c>
      <c r="D87" s="43">
        <f t="shared" si="20"/>
        <v>6168.0083333333341</v>
      </c>
      <c r="E87" s="43">
        <v>6063.8</v>
      </c>
      <c r="F87" s="43">
        <v>6066</v>
      </c>
      <c r="G87" s="43">
        <f t="shared" si="21"/>
        <v>17245.7513</v>
      </c>
      <c r="H87" s="44">
        <f t="shared" si="32"/>
        <v>6.6844422491534078E-2</v>
      </c>
      <c r="I87" s="43">
        <v>5194.3999999999996</v>
      </c>
      <c r="J87" s="43"/>
      <c r="K87" s="43"/>
      <c r="L87" s="43">
        <f t="shared" si="31"/>
        <v>5194.3999999999996</v>
      </c>
      <c r="M87" s="43">
        <v>5027.5</v>
      </c>
      <c r="N87" s="43">
        <f t="shared" si="22"/>
        <v>-166.89999999999964</v>
      </c>
      <c r="O87" s="43">
        <f t="shared" si="23"/>
        <v>96.786924380101652</v>
      </c>
      <c r="P87" s="43">
        <v>19241.999999999996</v>
      </c>
      <c r="Q87" s="44">
        <f t="shared" si="24"/>
        <v>7.8507916771865097E-2</v>
      </c>
      <c r="R87" s="43">
        <f t="shared" si="25"/>
        <v>4868.9801350367979</v>
      </c>
      <c r="S87" s="43"/>
      <c r="T87" s="43"/>
      <c r="U87" s="43"/>
      <c r="V87" s="43"/>
      <c r="W87" s="43"/>
      <c r="X87" s="43">
        <f t="shared" si="26"/>
        <v>4868.9801350367979</v>
      </c>
      <c r="Y87" s="43">
        <v>5830</v>
      </c>
      <c r="Z87" s="43">
        <f t="shared" si="33"/>
        <v>5830</v>
      </c>
      <c r="AA87" s="43"/>
      <c r="AB87" s="43"/>
      <c r="AC87" s="43"/>
      <c r="AD87" s="43">
        <f t="shared" si="27"/>
        <v>5830</v>
      </c>
      <c r="AE87" s="43">
        <v>7130.4</v>
      </c>
      <c r="AF87" s="43"/>
      <c r="AG87" s="43"/>
      <c r="AH87" s="42">
        <f t="shared" si="28"/>
        <v>7130.4</v>
      </c>
      <c r="AI87" s="41">
        <v>5671.7</v>
      </c>
      <c r="AJ87" s="40">
        <v>6098.1</v>
      </c>
      <c r="AK87" s="49">
        <f>5700-700</f>
        <v>5000</v>
      </c>
      <c r="AL87" s="39">
        <f t="shared" si="29"/>
        <v>5000</v>
      </c>
      <c r="AM87" s="49"/>
      <c r="AN87" s="49">
        <f t="shared" si="30"/>
        <v>5000</v>
      </c>
      <c r="AO87" s="49">
        <f>17901.5/3</f>
        <v>5967.166666666667</v>
      </c>
    </row>
    <row r="88" spans="1:41" s="18" customFormat="1" ht="20.399999999999999" x14ac:dyDescent="0.25">
      <c r="A88" s="46">
        <v>18120</v>
      </c>
      <c r="B88" s="45" t="s">
        <v>217</v>
      </c>
      <c r="C88" s="43">
        <v>263112.5</v>
      </c>
      <c r="D88" s="43">
        <f t="shared" si="20"/>
        <v>21926.041666666668</v>
      </c>
      <c r="E88" s="43">
        <v>690.5</v>
      </c>
      <c r="F88" s="43">
        <v>27251.4</v>
      </c>
      <c r="G88" s="43">
        <f t="shared" si="21"/>
        <v>61305.212500000001</v>
      </c>
      <c r="H88" s="44">
        <f t="shared" si="32"/>
        <v>0.1539811183050171</v>
      </c>
      <c r="I88" s="43">
        <v>19621.099999999999</v>
      </c>
      <c r="J88" s="43"/>
      <c r="K88" s="43"/>
      <c r="L88" s="43">
        <f t="shared" si="31"/>
        <v>19621.099999999999</v>
      </c>
      <c r="M88" s="43">
        <v>1461.5</v>
      </c>
      <c r="N88" s="43">
        <f t="shared" si="22"/>
        <v>-18159.599999999999</v>
      </c>
      <c r="O88" s="43">
        <f t="shared" si="23"/>
        <v>7.4486139920799559</v>
      </c>
      <c r="P88" s="43">
        <v>70824.2</v>
      </c>
      <c r="Q88" s="44">
        <f t="shared" si="24"/>
        <v>0.28896478531514025</v>
      </c>
      <c r="R88" s="43">
        <f t="shared" si="25"/>
        <v>17921.298351516121</v>
      </c>
      <c r="S88" s="43"/>
      <c r="T88" s="43"/>
      <c r="U88" s="43"/>
      <c r="V88" s="43"/>
      <c r="W88" s="43"/>
      <c r="X88" s="43">
        <f t="shared" si="26"/>
        <v>17921.298351516121</v>
      </c>
      <c r="Y88" s="43">
        <v>8430</v>
      </c>
      <c r="Z88" s="43">
        <f t="shared" si="33"/>
        <v>8430</v>
      </c>
      <c r="AA88" s="43"/>
      <c r="AB88" s="43"/>
      <c r="AC88" s="43"/>
      <c r="AD88" s="43">
        <f t="shared" si="27"/>
        <v>8430</v>
      </c>
      <c r="AE88" s="43">
        <f>36789.6/1.5-22000</f>
        <v>2526.3999999999978</v>
      </c>
      <c r="AF88" s="43"/>
      <c r="AG88" s="43"/>
      <c r="AH88" s="42">
        <f t="shared" si="28"/>
        <v>2526.3999999999978</v>
      </c>
      <c r="AI88" s="41">
        <v>2526.4</v>
      </c>
      <c r="AJ88" s="40">
        <v>2526.4</v>
      </c>
      <c r="AK88" s="49">
        <f>100000-97500</f>
        <v>2500</v>
      </c>
      <c r="AL88" s="39">
        <f t="shared" si="29"/>
        <v>2500</v>
      </c>
      <c r="AM88" s="49">
        <v>70000</v>
      </c>
      <c r="AN88" s="49">
        <f t="shared" si="30"/>
        <v>72500</v>
      </c>
      <c r="AO88" s="49">
        <f>28003.9/3</f>
        <v>9334.6333333333332</v>
      </c>
    </row>
    <row r="89" spans="1:41" s="18" customFormat="1" ht="13.2" x14ac:dyDescent="0.25">
      <c r="A89" s="46">
        <v>19110</v>
      </c>
      <c r="B89" s="45" t="s">
        <v>216</v>
      </c>
      <c r="C89" s="43">
        <v>84964.3</v>
      </c>
      <c r="D89" s="43">
        <f t="shared" si="20"/>
        <v>7080.3583333333336</v>
      </c>
      <c r="E89" s="43">
        <v>8472.2999999999993</v>
      </c>
      <c r="F89" s="43">
        <v>8505.2999999999993</v>
      </c>
      <c r="G89" s="43">
        <f t="shared" si="21"/>
        <v>19796.681900000003</v>
      </c>
      <c r="H89" s="44">
        <f t="shared" si="32"/>
        <v>9.3559487154962886E-2</v>
      </c>
      <c r="I89" s="43">
        <v>2517.1</v>
      </c>
      <c r="J89" s="43"/>
      <c r="K89" s="43">
        <v>6763.3</v>
      </c>
      <c r="L89" s="43">
        <f t="shared" si="31"/>
        <v>9280.4</v>
      </c>
      <c r="M89" s="43">
        <v>9280.4</v>
      </c>
      <c r="N89" s="43">
        <f t="shared" si="22"/>
        <v>0</v>
      </c>
      <c r="O89" s="43">
        <f t="shared" si="23"/>
        <v>100</v>
      </c>
      <c r="P89" s="43">
        <v>29746.800000000003</v>
      </c>
      <c r="Q89" s="44">
        <f t="shared" si="24"/>
        <v>0.12136780473076174</v>
      </c>
      <c r="R89" s="43">
        <f t="shared" si="25"/>
        <v>7527.10624056297</v>
      </c>
      <c r="S89" s="43"/>
      <c r="T89" s="43"/>
      <c r="U89" s="43"/>
      <c r="V89" s="43"/>
      <c r="W89" s="43"/>
      <c r="X89" s="43">
        <f t="shared" si="26"/>
        <v>7527.10624056297</v>
      </c>
      <c r="Y89" s="43">
        <v>8395</v>
      </c>
      <c r="Z89" s="43">
        <f t="shared" si="33"/>
        <v>8395</v>
      </c>
      <c r="AA89" s="43"/>
      <c r="AB89" s="43"/>
      <c r="AC89" s="43"/>
      <c r="AD89" s="43">
        <f t="shared" si="27"/>
        <v>8395</v>
      </c>
      <c r="AE89" s="43">
        <f>17986.9-6000</f>
        <v>11986.900000000001</v>
      </c>
      <c r="AF89" s="43"/>
      <c r="AG89" s="43"/>
      <c r="AH89" s="42">
        <f t="shared" si="28"/>
        <v>11986.900000000001</v>
      </c>
      <c r="AI89" s="41">
        <v>7625.4</v>
      </c>
      <c r="AJ89" s="40">
        <v>7070.8</v>
      </c>
      <c r="AK89" s="49">
        <f>9482.96666666667-2000</f>
        <v>7482.9666666666708</v>
      </c>
      <c r="AL89" s="39">
        <f t="shared" si="29"/>
        <v>7482.9666666666708</v>
      </c>
      <c r="AM89" s="49"/>
      <c r="AN89" s="49">
        <f t="shared" si="30"/>
        <v>7482.9666666666708</v>
      </c>
      <c r="AO89" s="49">
        <f>29542.9/3</f>
        <v>9847.6333333333332</v>
      </c>
    </row>
    <row r="90" spans="1:41" s="18" customFormat="1" ht="13.2" x14ac:dyDescent="0.25">
      <c r="A90" s="46">
        <v>19120</v>
      </c>
      <c r="B90" s="45" t="s">
        <v>215</v>
      </c>
      <c r="C90" s="43">
        <v>343427.1</v>
      </c>
      <c r="D90" s="43">
        <f t="shared" si="20"/>
        <v>28618.924999999999</v>
      </c>
      <c r="E90" s="43">
        <v>36904</v>
      </c>
      <c r="F90" s="43">
        <v>37437.599999999999</v>
      </c>
      <c r="G90" s="43">
        <f t="shared" si="21"/>
        <v>80018.514299999995</v>
      </c>
      <c r="H90" s="44">
        <f t="shared" si="32"/>
        <v>0.40967875143008375</v>
      </c>
      <c r="I90" s="43">
        <v>6460</v>
      </c>
      <c r="J90" s="43"/>
      <c r="K90" s="43">
        <v>28682.5</v>
      </c>
      <c r="L90" s="43">
        <f t="shared" si="31"/>
        <v>35142.5</v>
      </c>
      <c r="M90" s="43">
        <v>35142.5</v>
      </c>
      <c r="N90" s="43">
        <f t="shared" si="22"/>
        <v>0</v>
      </c>
      <c r="O90" s="43">
        <f t="shared" si="23"/>
        <v>100</v>
      </c>
      <c r="P90" s="43">
        <v>121419.4</v>
      </c>
      <c r="Q90" s="44">
        <f t="shared" si="24"/>
        <v>0.49539466529933468</v>
      </c>
      <c r="R90" s="43">
        <f t="shared" si="25"/>
        <v>30723.866885359479</v>
      </c>
      <c r="S90" s="43"/>
      <c r="T90" s="43"/>
      <c r="U90" s="43"/>
      <c r="V90" s="43"/>
      <c r="W90" s="43"/>
      <c r="X90" s="43">
        <f t="shared" si="26"/>
        <v>30723.866885359479</v>
      </c>
      <c r="Y90" s="43">
        <v>37910</v>
      </c>
      <c r="Z90" s="43">
        <f t="shared" si="33"/>
        <v>37910</v>
      </c>
      <c r="AA90" s="43"/>
      <c r="AB90" s="43"/>
      <c r="AC90" s="43"/>
      <c r="AD90" s="43">
        <f t="shared" si="27"/>
        <v>37910</v>
      </c>
      <c r="AE90" s="43">
        <f>71082.1-31000</f>
        <v>40082.100000000006</v>
      </c>
      <c r="AF90" s="43"/>
      <c r="AG90" s="43"/>
      <c r="AH90" s="42">
        <f t="shared" si="28"/>
        <v>40082.100000000006</v>
      </c>
      <c r="AI90" s="41">
        <v>35498</v>
      </c>
      <c r="AJ90" s="40">
        <v>27356.5</v>
      </c>
      <c r="AK90" s="49">
        <v>30320.05</v>
      </c>
      <c r="AL90" s="39">
        <f t="shared" si="29"/>
        <v>30320.05</v>
      </c>
      <c r="AM90" s="49"/>
      <c r="AN90" s="49">
        <f t="shared" si="30"/>
        <v>30320.05</v>
      </c>
      <c r="AO90" s="49">
        <f>120531.7/3</f>
        <v>40177.23333333333</v>
      </c>
    </row>
    <row r="91" spans="1:41" s="18" customFormat="1" ht="13.2" x14ac:dyDescent="0.25">
      <c r="A91" s="46">
        <v>20110</v>
      </c>
      <c r="B91" s="45" t="s">
        <v>214</v>
      </c>
      <c r="C91" s="43">
        <v>23743</v>
      </c>
      <c r="D91" s="43">
        <f t="shared" si="20"/>
        <v>1978.5833333333333</v>
      </c>
      <c r="E91" s="43">
        <v>1961.7</v>
      </c>
      <c r="F91" s="43">
        <v>3587</v>
      </c>
      <c r="G91" s="43">
        <f t="shared" si="21"/>
        <v>5532.1190000000006</v>
      </c>
      <c r="H91" s="44">
        <f t="shared" si="32"/>
        <v>3.0577556685087565E-2</v>
      </c>
      <c r="I91" s="43">
        <v>1661.5</v>
      </c>
      <c r="J91" s="43"/>
      <c r="K91" s="43"/>
      <c r="L91" s="43">
        <f t="shared" si="31"/>
        <v>1661.5</v>
      </c>
      <c r="M91" s="43">
        <v>1661.5</v>
      </c>
      <c r="N91" s="43">
        <f t="shared" si="22"/>
        <v>0</v>
      </c>
      <c r="O91" s="43">
        <f t="shared" si="23"/>
        <v>100</v>
      </c>
      <c r="P91" s="43">
        <v>5629.7</v>
      </c>
      <c r="Q91" s="44">
        <f t="shared" si="24"/>
        <v>2.2969338896713907E-2</v>
      </c>
      <c r="R91" s="43">
        <f t="shared" si="25"/>
        <v>1424.5347399551329</v>
      </c>
      <c r="S91" s="43"/>
      <c r="T91" s="43"/>
      <c r="U91" s="43">
        <v>111</v>
      </c>
      <c r="V91" s="43"/>
      <c r="W91" s="43"/>
      <c r="X91" s="43">
        <f t="shared" si="26"/>
        <v>1535.5347399551329</v>
      </c>
      <c r="Y91" s="43">
        <v>1877</v>
      </c>
      <c r="Z91" s="43">
        <f t="shared" si="33"/>
        <v>1877</v>
      </c>
      <c r="AA91" s="43"/>
      <c r="AB91" s="43"/>
      <c r="AC91" s="43"/>
      <c r="AD91" s="43">
        <f t="shared" si="27"/>
        <v>1877</v>
      </c>
      <c r="AE91" s="43">
        <v>2328.1999999999998</v>
      </c>
      <c r="AF91" s="43"/>
      <c r="AG91" s="43"/>
      <c r="AH91" s="42">
        <f t="shared" si="28"/>
        <v>2328.1999999999998</v>
      </c>
      <c r="AI91" s="41">
        <f>1625.7+153.6</f>
        <v>1779.3</v>
      </c>
      <c r="AJ91" s="40">
        <v>1763.7</v>
      </c>
      <c r="AK91" s="49">
        <v>1748.4</v>
      </c>
      <c r="AL91" s="39">
        <f t="shared" si="29"/>
        <v>1748.4</v>
      </c>
      <c r="AM91" s="49"/>
      <c r="AN91" s="49">
        <f t="shared" si="30"/>
        <v>1748.4</v>
      </c>
      <c r="AO91" s="49">
        <f>5611.7/3</f>
        <v>1870.5666666666666</v>
      </c>
    </row>
    <row r="92" spans="1:41" s="18" customFormat="1" ht="13.2" x14ac:dyDescent="0.25">
      <c r="A92" s="46">
        <v>21110</v>
      </c>
      <c r="B92" s="45" t="s">
        <v>213</v>
      </c>
      <c r="C92" s="43">
        <v>28596.7</v>
      </c>
      <c r="D92" s="43">
        <f t="shared" si="20"/>
        <v>2383.0583333333334</v>
      </c>
      <c r="E92" s="43">
        <v>2382</v>
      </c>
      <c r="F92" s="43">
        <v>2227.9</v>
      </c>
      <c r="G92" s="43">
        <f t="shared" si="21"/>
        <v>6663.0311000000002</v>
      </c>
      <c r="H92" s="44">
        <f t="shared" si="32"/>
        <v>2.5404054744820437E-2</v>
      </c>
      <c r="I92" s="43">
        <v>2004.9</v>
      </c>
      <c r="J92" s="43"/>
      <c r="K92" s="43"/>
      <c r="L92" s="43">
        <f t="shared" si="31"/>
        <v>2004.9</v>
      </c>
      <c r="M92" s="43">
        <v>2004.9</v>
      </c>
      <c r="N92" s="43">
        <f t="shared" si="22"/>
        <v>0</v>
      </c>
      <c r="O92" s="43">
        <f t="shared" si="23"/>
        <v>100</v>
      </c>
      <c r="P92" s="43">
        <v>7587.2999999999993</v>
      </c>
      <c r="Q92" s="44">
        <f t="shared" si="24"/>
        <v>3.095640354033739E-2</v>
      </c>
      <c r="R92" s="43">
        <f t="shared" si="25"/>
        <v>1919.8842624760782</v>
      </c>
      <c r="S92" s="43"/>
      <c r="T92" s="43"/>
      <c r="U92" s="43"/>
      <c r="V92" s="43"/>
      <c r="W92" s="43"/>
      <c r="X92" s="43">
        <f t="shared" si="26"/>
        <v>1919.8842624760782</v>
      </c>
      <c r="Y92" s="43">
        <v>2144</v>
      </c>
      <c r="Z92" s="43">
        <f t="shared" si="33"/>
        <v>2144</v>
      </c>
      <c r="AA92" s="43"/>
      <c r="AB92" s="43"/>
      <c r="AC92" s="43"/>
      <c r="AD92" s="43">
        <f t="shared" si="27"/>
        <v>2144</v>
      </c>
      <c r="AE92" s="43">
        <v>2863.85</v>
      </c>
      <c r="AF92" s="43"/>
      <c r="AG92" s="43"/>
      <c r="AH92" s="42">
        <f t="shared" si="28"/>
        <v>2863.85</v>
      </c>
      <c r="AI92" s="41">
        <v>2300.9</v>
      </c>
      <c r="AJ92" s="40">
        <v>2318.1999999999998</v>
      </c>
      <c r="AK92" s="49">
        <f>4188.5-2000</f>
        <v>2188.5</v>
      </c>
      <c r="AL92" s="39">
        <f t="shared" si="29"/>
        <v>2188.5</v>
      </c>
      <c r="AM92" s="49"/>
      <c r="AN92" s="49">
        <f t="shared" si="30"/>
        <v>2188.5</v>
      </c>
      <c r="AO92" s="49">
        <f>6500.3/3</f>
        <v>2166.7666666666669</v>
      </c>
    </row>
    <row r="93" spans="1:41" s="18" customFormat="1" ht="13.2" x14ac:dyDescent="0.25">
      <c r="A93" s="46">
        <v>22110</v>
      </c>
      <c r="B93" s="45" t="s">
        <v>212</v>
      </c>
      <c r="C93" s="43">
        <v>25091.3</v>
      </c>
      <c r="D93" s="43">
        <f t="shared" si="20"/>
        <v>2090.9416666666666</v>
      </c>
      <c r="E93" s="43">
        <v>2091</v>
      </c>
      <c r="F93" s="43">
        <v>2093</v>
      </c>
      <c r="G93" s="43">
        <f t="shared" si="21"/>
        <v>5846.2728999999999</v>
      </c>
      <c r="H93" s="44">
        <f t="shared" si="32"/>
        <v>2.3057021855643008E-2</v>
      </c>
      <c r="I93" s="43">
        <v>1975.4</v>
      </c>
      <c r="J93" s="43"/>
      <c r="K93" s="43"/>
      <c r="L93" s="43">
        <f t="shared" si="31"/>
        <v>1975.4</v>
      </c>
      <c r="M93" s="43">
        <v>1975.4</v>
      </c>
      <c r="N93" s="43">
        <f t="shared" si="22"/>
        <v>0</v>
      </c>
      <c r="O93" s="43">
        <f t="shared" si="23"/>
        <v>100</v>
      </c>
      <c r="P93" s="43">
        <v>6447.5</v>
      </c>
      <c r="Q93" s="44">
        <f t="shared" si="24"/>
        <v>2.6305986559952203E-2</v>
      </c>
      <c r="R93" s="43">
        <f t="shared" si="25"/>
        <v>1631.4701912820788</v>
      </c>
      <c r="S93" s="43"/>
      <c r="T93" s="43"/>
      <c r="U93" s="43"/>
      <c r="V93" s="43"/>
      <c r="W93" s="43"/>
      <c r="X93" s="43">
        <f t="shared" si="26"/>
        <v>1631.4701912820788</v>
      </c>
      <c r="Y93" s="43">
        <v>2149</v>
      </c>
      <c r="Z93" s="43">
        <f t="shared" si="33"/>
        <v>2149</v>
      </c>
      <c r="AA93" s="43"/>
      <c r="AB93" s="43"/>
      <c r="AC93" s="43"/>
      <c r="AD93" s="43">
        <f t="shared" si="27"/>
        <v>2149</v>
      </c>
      <c r="AE93" s="43">
        <f>3577.5-500</f>
        <v>3077.5</v>
      </c>
      <c r="AF93" s="43">
        <v>343.4</v>
      </c>
      <c r="AG93" s="43"/>
      <c r="AH93" s="42">
        <f t="shared" si="28"/>
        <v>3420.9</v>
      </c>
      <c r="AI93" s="41">
        <v>2026.2</v>
      </c>
      <c r="AJ93" s="40">
        <v>3022.7</v>
      </c>
      <c r="AK93" s="49">
        <v>1811.2</v>
      </c>
      <c r="AL93" s="39">
        <f t="shared" si="29"/>
        <v>1811.2</v>
      </c>
      <c r="AM93" s="49"/>
      <c r="AN93" s="49">
        <f t="shared" si="30"/>
        <v>1811.2</v>
      </c>
      <c r="AO93" s="49">
        <f>5236.4/3</f>
        <v>1745.4666666666665</v>
      </c>
    </row>
    <row r="94" spans="1:41" s="18" customFormat="1" ht="13.2" x14ac:dyDescent="0.25">
      <c r="A94" s="46">
        <v>22120</v>
      </c>
      <c r="B94" s="45" t="s">
        <v>211</v>
      </c>
      <c r="C94" s="43">
        <v>66671.600000000006</v>
      </c>
      <c r="D94" s="43">
        <f t="shared" si="20"/>
        <v>5555.9666666666672</v>
      </c>
      <c r="E94" s="43">
        <v>4722.6000000000004</v>
      </c>
      <c r="F94" s="43">
        <v>5449.8</v>
      </c>
      <c r="G94" s="43">
        <f t="shared" si="21"/>
        <v>15534.482800000003</v>
      </c>
      <c r="H94" s="44">
        <f t="shared" si="32"/>
        <v>5.6057659924556164E-2</v>
      </c>
      <c r="I94" s="43">
        <v>5967.8</v>
      </c>
      <c r="J94" s="43"/>
      <c r="K94" s="43"/>
      <c r="L94" s="43">
        <f t="shared" si="31"/>
        <v>5967.8</v>
      </c>
      <c r="M94" s="43">
        <v>5967.8</v>
      </c>
      <c r="N94" s="43">
        <f t="shared" si="22"/>
        <v>0</v>
      </c>
      <c r="O94" s="43">
        <f t="shared" si="23"/>
        <v>100</v>
      </c>
      <c r="P94" s="43">
        <v>17165.2</v>
      </c>
      <c r="Q94" s="44">
        <f t="shared" si="24"/>
        <v>7.0034512679161165E-2</v>
      </c>
      <c r="R94" s="43">
        <f t="shared" si="25"/>
        <v>4343.4683408135161</v>
      </c>
      <c r="S94" s="43"/>
      <c r="T94" s="43"/>
      <c r="U94" s="43"/>
      <c r="V94" s="43"/>
      <c r="W94" s="43"/>
      <c r="X94" s="43">
        <f t="shared" si="26"/>
        <v>4343.4683408135161</v>
      </c>
      <c r="Y94" s="43">
        <v>5704</v>
      </c>
      <c r="Z94" s="43">
        <f t="shared" si="33"/>
        <v>5704</v>
      </c>
      <c r="AA94" s="43"/>
      <c r="AB94" s="43"/>
      <c r="AC94" s="43"/>
      <c r="AD94" s="43">
        <f t="shared" si="27"/>
        <v>5704</v>
      </c>
      <c r="AE94" s="43">
        <f>7566.3-500</f>
        <v>7066.3</v>
      </c>
      <c r="AF94" s="43"/>
      <c r="AG94" s="43"/>
      <c r="AH94" s="42">
        <f t="shared" si="28"/>
        <v>7066.3</v>
      </c>
      <c r="AI94" s="41">
        <v>5569.5</v>
      </c>
      <c r="AJ94" s="40">
        <v>6658</v>
      </c>
      <c r="AK94" s="49">
        <v>5204.3999999999996</v>
      </c>
      <c r="AL94" s="39">
        <f t="shared" si="29"/>
        <v>5204.3999999999996</v>
      </c>
      <c r="AM94" s="49"/>
      <c r="AN94" s="49">
        <f t="shared" si="30"/>
        <v>5204.3999999999996</v>
      </c>
      <c r="AO94" s="49">
        <f>16960.1/3</f>
        <v>5653.3666666666659</v>
      </c>
    </row>
    <row r="95" spans="1:41" s="18" customFormat="1" ht="20.399999999999999" x14ac:dyDescent="0.25">
      <c r="A95" s="46">
        <v>22210</v>
      </c>
      <c r="B95" s="45" t="s">
        <v>210</v>
      </c>
      <c r="C95" s="43">
        <v>31888.7</v>
      </c>
      <c r="D95" s="43">
        <f t="shared" si="20"/>
        <v>2657.3916666666669</v>
      </c>
      <c r="E95" s="43">
        <v>3312.2</v>
      </c>
      <c r="F95" s="43">
        <v>1542</v>
      </c>
      <c r="G95" s="43">
        <f t="shared" si="21"/>
        <v>7430.0671000000011</v>
      </c>
      <c r="H95" s="44">
        <f t="shared" si="32"/>
        <v>2.6750333530512021E-2</v>
      </c>
      <c r="I95" s="43">
        <f>7990664.7*H95/100</f>
        <v>2137.5294585548882</v>
      </c>
      <c r="J95" s="43"/>
      <c r="K95" s="43"/>
      <c r="L95" s="43">
        <f t="shared" si="31"/>
        <v>2137.5294585548882</v>
      </c>
      <c r="M95" s="43">
        <v>2137.5</v>
      </c>
      <c r="N95" s="43">
        <f t="shared" si="22"/>
        <v>-2.9458554888151411E-2</v>
      </c>
      <c r="O95" s="43">
        <f t="shared" si="23"/>
        <v>99.998621840987028</v>
      </c>
      <c r="P95" s="43">
        <v>8222.6</v>
      </c>
      <c r="Q95" s="44">
        <f t="shared" si="24"/>
        <v>3.3548445922894611E-2</v>
      </c>
      <c r="R95" s="43">
        <f t="shared" si="25"/>
        <v>2080.6400612386233</v>
      </c>
      <c r="S95" s="43"/>
      <c r="T95" s="43"/>
      <c r="U95" s="43"/>
      <c r="V95" s="43"/>
      <c r="W95" s="43"/>
      <c r="X95" s="43">
        <f t="shared" si="26"/>
        <v>2080.6400612386233</v>
      </c>
      <c r="Y95" s="43">
        <v>2711</v>
      </c>
      <c r="Z95" s="43">
        <f t="shared" si="33"/>
        <v>2711</v>
      </c>
      <c r="AA95" s="43"/>
      <c r="AB95" s="43"/>
      <c r="AC95" s="43"/>
      <c r="AD95" s="43">
        <f t="shared" si="27"/>
        <v>2711</v>
      </c>
      <c r="AE95" s="43">
        <f>4482.1-1000</f>
        <v>3482.1000000000004</v>
      </c>
      <c r="AF95" s="43"/>
      <c r="AG95" s="43"/>
      <c r="AH95" s="42">
        <f t="shared" si="28"/>
        <v>3482.1000000000004</v>
      </c>
      <c r="AI95" s="41">
        <v>2716.5</v>
      </c>
      <c r="AJ95" s="40">
        <v>3003.1</v>
      </c>
      <c r="AK95" s="49">
        <f>4742.4-1500-1000</f>
        <v>2242.3999999999996</v>
      </c>
      <c r="AL95" s="39">
        <f t="shared" si="29"/>
        <v>2242.3999999999996</v>
      </c>
      <c r="AM95" s="49"/>
      <c r="AN95" s="49">
        <f t="shared" si="30"/>
        <v>2242.3999999999996</v>
      </c>
      <c r="AO95" s="49">
        <f>8003.1/3</f>
        <v>2667.7000000000003</v>
      </c>
    </row>
    <row r="96" spans="1:41" s="18" customFormat="1" ht="13.2" x14ac:dyDescent="0.25">
      <c r="A96" s="46">
        <v>23110</v>
      </c>
      <c r="B96" s="45" t="s">
        <v>209</v>
      </c>
      <c r="C96" s="43">
        <v>40539.699999999997</v>
      </c>
      <c r="D96" s="43">
        <f t="shared" si="20"/>
        <v>3378.3083333333329</v>
      </c>
      <c r="E96" s="43">
        <v>3242.7</v>
      </c>
      <c r="F96" s="43">
        <v>3051</v>
      </c>
      <c r="G96" s="43">
        <f t="shared" si="21"/>
        <v>9445.7500999999993</v>
      </c>
      <c r="H96" s="44">
        <f t="shared" si="32"/>
        <v>3.4683073243991495E-2</v>
      </c>
      <c r="I96" s="43">
        <v>3099.8</v>
      </c>
      <c r="J96" s="43"/>
      <c r="K96" s="43"/>
      <c r="L96" s="43">
        <f t="shared" si="31"/>
        <v>3099.8</v>
      </c>
      <c r="M96" s="43">
        <v>3099.8</v>
      </c>
      <c r="N96" s="43">
        <f t="shared" si="22"/>
        <v>0</v>
      </c>
      <c r="O96" s="43">
        <f t="shared" si="23"/>
        <v>100</v>
      </c>
      <c r="P96" s="43">
        <v>10589.599999999999</v>
      </c>
      <c r="Q96" s="44">
        <f t="shared" si="24"/>
        <v>4.3205874412604858E-2</v>
      </c>
      <c r="R96" s="43">
        <f t="shared" si="25"/>
        <v>2679.5838290191082</v>
      </c>
      <c r="S96" s="43"/>
      <c r="T96" s="43"/>
      <c r="U96" s="43"/>
      <c r="V96" s="43"/>
      <c r="W96" s="43"/>
      <c r="X96" s="43">
        <f t="shared" si="26"/>
        <v>2679.5838290191082</v>
      </c>
      <c r="Y96" s="43">
        <v>3530</v>
      </c>
      <c r="Z96" s="43">
        <f t="shared" si="33"/>
        <v>3530</v>
      </c>
      <c r="AA96" s="43"/>
      <c r="AB96" s="43"/>
      <c r="AC96" s="43"/>
      <c r="AD96" s="43">
        <f t="shared" si="27"/>
        <v>3530</v>
      </c>
      <c r="AE96" s="43">
        <v>4380</v>
      </c>
      <c r="AF96" s="43"/>
      <c r="AG96" s="43"/>
      <c r="AH96" s="42">
        <f t="shared" si="28"/>
        <v>4380</v>
      </c>
      <c r="AI96" s="41">
        <v>2370</v>
      </c>
      <c r="AJ96" s="40">
        <v>3348.8</v>
      </c>
      <c r="AK96" s="49">
        <f>4327.6-1000</f>
        <v>3327.6000000000004</v>
      </c>
      <c r="AL96" s="39">
        <f t="shared" si="29"/>
        <v>3327.6000000000004</v>
      </c>
      <c r="AM96" s="49"/>
      <c r="AN96" s="49">
        <f t="shared" si="30"/>
        <v>3327.6000000000004</v>
      </c>
      <c r="AO96" s="49">
        <f>10510.2/3</f>
        <v>3503.4</v>
      </c>
    </row>
    <row r="97" spans="1:41" s="18" customFormat="1" ht="20.399999999999999" x14ac:dyDescent="0.25">
      <c r="A97" s="46">
        <v>23120</v>
      </c>
      <c r="B97" s="45" t="s">
        <v>208</v>
      </c>
      <c r="C97" s="43">
        <v>1578.1</v>
      </c>
      <c r="D97" s="43">
        <f t="shared" si="20"/>
        <v>131.50833333333333</v>
      </c>
      <c r="E97" s="43">
        <v>131.5</v>
      </c>
      <c r="F97" s="43">
        <v>131.5</v>
      </c>
      <c r="G97" s="43">
        <f t="shared" si="21"/>
        <v>367.69729999999998</v>
      </c>
      <c r="H97" s="44">
        <f t="shared" si="32"/>
        <v>1.4493300067003135E-3</v>
      </c>
      <c r="I97" s="43">
        <v>111</v>
      </c>
      <c r="J97" s="43"/>
      <c r="K97" s="43"/>
      <c r="L97" s="43">
        <f t="shared" si="31"/>
        <v>111</v>
      </c>
      <c r="M97" s="43">
        <v>111</v>
      </c>
      <c r="N97" s="43">
        <f t="shared" si="22"/>
        <v>0</v>
      </c>
      <c r="O97" s="43">
        <f t="shared" si="23"/>
        <v>100</v>
      </c>
      <c r="P97" s="43">
        <v>408.29999999999995</v>
      </c>
      <c r="Q97" s="44">
        <f t="shared" si="24"/>
        <v>1.6658758142580046E-3</v>
      </c>
      <c r="R97" s="43">
        <f t="shared" si="25"/>
        <v>103.31590214819276</v>
      </c>
      <c r="S97" s="43"/>
      <c r="T97" s="43"/>
      <c r="U97" s="43"/>
      <c r="V97" s="43"/>
      <c r="W97" s="43"/>
      <c r="X97" s="43">
        <f t="shared" si="26"/>
        <v>103.31590214819276</v>
      </c>
      <c r="Y97" s="43">
        <v>136</v>
      </c>
      <c r="Z97" s="43">
        <f t="shared" si="33"/>
        <v>136</v>
      </c>
      <c r="AA97" s="43"/>
      <c r="AB97" s="43"/>
      <c r="AC97" s="43"/>
      <c r="AD97" s="43">
        <f t="shared" si="27"/>
        <v>136</v>
      </c>
      <c r="AE97" s="43">
        <v>169</v>
      </c>
      <c r="AF97" s="43"/>
      <c r="AG97" s="43"/>
      <c r="AH97" s="42">
        <f t="shared" si="28"/>
        <v>169</v>
      </c>
      <c r="AI97" s="41">
        <v>136</v>
      </c>
      <c r="AJ97" s="40">
        <v>129.19999999999999</v>
      </c>
      <c r="AK97" s="49">
        <v>122.4</v>
      </c>
      <c r="AL97" s="39">
        <f t="shared" si="29"/>
        <v>122.4</v>
      </c>
      <c r="AM97" s="49"/>
      <c r="AN97" s="49">
        <f t="shared" si="30"/>
        <v>122.4</v>
      </c>
      <c r="AO97" s="49">
        <f>408.2/3</f>
        <v>136.06666666666666</v>
      </c>
    </row>
    <row r="98" spans="1:41" s="18" customFormat="1" ht="20.399999999999999" x14ac:dyDescent="0.25">
      <c r="A98" s="46">
        <v>23130</v>
      </c>
      <c r="B98" s="45" t="s">
        <v>207</v>
      </c>
      <c r="C98" s="43">
        <v>49494.1</v>
      </c>
      <c r="D98" s="43">
        <f t="shared" si="20"/>
        <v>4124.5083333333332</v>
      </c>
      <c r="E98" s="43">
        <v>4124.5</v>
      </c>
      <c r="F98" s="43">
        <v>4124.5</v>
      </c>
      <c r="G98" s="43">
        <f t="shared" si="21"/>
        <v>11532.1253</v>
      </c>
      <c r="H98" s="44">
        <f t="shared" si="32"/>
        <v>4.5458263213957739E-2</v>
      </c>
      <c r="I98" s="43">
        <v>2392.1999999999998</v>
      </c>
      <c r="J98" s="43"/>
      <c r="K98" s="43"/>
      <c r="L98" s="43">
        <f t="shared" si="31"/>
        <v>2392.1999999999998</v>
      </c>
      <c r="M98" s="43">
        <v>2392.1999999999998</v>
      </c>
      <c r="N98" s="43">
        <f t="shared" si="22"/>
        <v>0</v>
      </c>
      <c r="O98" s="43">
        <f t="shared" si="23"/>
        <v>100</v>
      </c>
      <c r="P98" s="43">
        <v>11284.7</v>
      </c>
      <c r="Q98" s="44">
        <f t="shared" si="24"/>
        <v>4.6041902525489363E-2</v>
      </c>
      <c r="R98" s="43">
        <f t="shared" si="25"/>
        <v>2855.4713714712493</v>
      </c>
      <c r="S98" s="43"/>
      <c r="T98" s="43">
        <f>P98/3-R98</f>
        <v>906.09529519541775</v>
      </c>
      <c r="U98" s="43">
        <f>2488.9-T98</f>
        <v>1582.8047048045823</v>
      </c>
      <c r="V98" s="43"/>
      <c r="W98" s="43"/>
      <c r="X98" s="43">
        <f t="shared" ref="X98:X129" si="34">SUM(R98:V98)</f>
        <v>5344.3713714712494</v>
      </c>
      <c r="Y98" s="43"/>
      <c r="Z98" s="43">
        <f>D98</f>
        <v>4124.5083333333332</v>
      </c>
      <c r="AA98" s="43"/>
      <c r="AB98" s="43"/>
      <c r="AC98" s="43"/>
      <c r="AD98" s="43">
        <f t="shared" ref="AD98:AD129" si="35">SUM(Z98:AC98)</f>
        <v>4124.5083333333332</v>
      </c>
      <c r="AE98" s="43">
        <v>1815.8</v>
      </c>
      <c r="AF98" s="43"/>
      <c r="AG98" s="43">
        <v>1950.6</v>
      </c>
      <c r="AH98" s="42">
        <f t="shared" si="28"/>
        <v>3766.3999999999996</v>
      </c>
      <c r="AI98" s="41">
        <v>3766.4</v>
      </c>
      <c r="AJ98" s="40">
        <v>4454.5</v>
      </c>
      <c r="AK98" s="49">
        <f>5142.5-1000</f>
        <v>4142.5</v>
      </c>
      <c r="AL98" s="39">
        <f t="shared" si="29"/>
        <v>4142.5</v>
      </c>
      <c r="AM98" s="49"/>
      <c r="AN98" s="49">
        <f t="shared" si="30"/>
        <v>4142.5</v>
      </c>
      <c r="AO98" s="49">
        <f>12254.2/3</f>
        <v>4084.7333333333336</v>
      </c>
    </row>
    <row r="99" spans="1:41" s="18" customFormat="1" ht="20.399999999999999" x14ac:dyDescent="0.25">
      <c r="A99" s="46">
        <v>23140</v>
      </c>
      <c r="B99" s="45" t="s">
        <v>206</v>
      </c>
      <c r="C99" s="43">
        <v>974815</v>
      </c>
      <c r="D99" s="43">
        <f t="shared" si="20"/>
        <v>81234.583333333328</v>
      </c>
      <c r="E99" s="43">
        <v>81147.100000000006</v>
      </c>
      <c r="F99" s="43">
        <v>79567.5</v>
      </c>
      <c r="G99" s="43">
        <f t="shared" si="21"/>
        <v>227131.89499999999</v>
      </c>
      <c r="H99" s="44">
        <f t="shared" si="32"/>
        <v>0.88565966652029737</v>
      </c>
      <c r="I99" s="43">
        <v>66535.399999999994</v>
      </c>
      <c r="J99" s="43"/>
      <c r="K99" s="43"/>
      <c r="L99" s="43">
        <f t="shared" si="31"/>
        <v>66535.399999999994</v>
      </c>
      <c r="M99" s="43">
        <v>66535.399999999994</v>
      </c>
      <c r="N99" s="43">
        <f t="shared" si="22"/>
        <v>0</v>
      </c>
      <c r="O99" s="43">
        <f t="shared" si="23"/>
        <v>100</v>
      </c>
      <c r="P99" s="43">
        <v>242357.59999999998</v>
      </c>
      <c r="Q99" s="44">
        <f t="shared" si="24"/>
        <v>0.98882602067503245</v>
      </c>
      <c r="R99" s="43">
        <f t="shared" si="25"/>
        <v>61325.971311464215</v>
      </c>
      <c r="S99" s="43">
        <v>1000</v>
      </c>
      <c r="T99" s="43"/>
      <c r="U99" s="43"/>
      <c r="V99" s="43"/>
      <c r="W99" s="43"/>
      <c r="X99" s="43">
        <f t="shared" si="34"/>
        <v>62325.971311464215</v>
      </c>
      <c r="Y99" s="43">
        <v>62197</v>
      </c>
      <c r="Z99" s="43">
        <f>Y99</f>
        <v>62197</v>
      </c>
      <c r="AA99" s="43"/>
      <c r="AB99" s="43"/>
      <c r="AC99" s="43"/>
      <c r="AD99" s="43">
        <f t="shared" si="35"/>
        <v>62197</v>
      </c>
      <c r="AE99" s="43">
        <f>116522.7-15000-20000</f>
        <v>81522.7</v>
      </c>
      <c r="AF99" s="43"/>
      <c r="AG99" s="43"/>
      <c r="AH99" s="42">
        <f t="shared" si="28"/>
        <v>81522.7</v>
      </c>
      <c r="AI99" s="41">
        <v>84747.4</v>
      </c>
      <c r="AJ99" s="40">
        <v>90374</v>
      </c>
      <c r="AK99" s="49">
        <f>89907.4375-8000</f>
        <v>81907.4375</v>
      </c>
      <c r="AL99" s="39">
        <f t="shared" si="29"/>
        <v>81907.4375</v>
      </c>
      <c r="AM99" s="49"/>
      <c r="AN99" s="49">
        <f t="shared" si="30"/>
        <v>81907.4375</v>
      </c>
      <c r="AO99" s="49">
        <f>250325.4/3</f>
        <v>83441.8</v>
      </c>
    </row>
    <row r="100" spans="1:41" s="18" customFormat="1" ht="20.399999999999999" x14ac:dyDescent="0.25">
      <c r="A100" s="46">
        <v>23150</v>
      </c>
      <c r="B100" s="45" t="s">
        <v>205</v>
      </c>
      <c r="C100" s="43">
        <v>3031.9</v>
      </c>
      <c r="D100" s="43">
        <f t="shared" si="20"/>
        <v>252.65833333333333</v>
      </c>
      <c r="E100" s="43">
        <v>242.2</v>
      </c>
      <c r="F100" s="43">
        <v>193.7</v>
      </c>
      <c r="G100" s="43">
        <f t="shared" si="21"/>
        <v>706.43270000000007</v>
      </c>
      <c r="H100" s="44">
        <f t="shared" si="32"/>
        <v>2.4021404939949301E-3</v>
      </c>
      <c r="I100" s="43">
        <v>328</v>
      </c>
      <c r="J100" s="43"/>
      <c r="K100" s="43"/>
      <c r="L100" s="43">
        <f t="shared" si="31"/>
        <v>328</v>
      </c>
      <c r="M100" s="43">
        <v>328</v>
      </c>
      <c r="N100" s="43">
        <f t="shared" si="22"/>
        <v>0</v>
      </c>
      <c r="O100" s="43">
        <f t="shared" si="23"/>
        <v>100</v>
      </c>
      <c r="P100" s="43">
        <v>1085.5</v>
      </c>
      <c r="Q100" s="44">
        <f t="shared" si="24"/>
        <v>4.4288714092017237E-3</v>
      </c>
      <c r="R100" s="43">
        <f t="shared" si="25"/>
        <v>274.6740430611394</v>
      </c>
      <c r="S100" s="43"/>
      <c r="T100" s="43"/>
      <c r="U100" s="43"/>
      <c r="V100" s="43"/>
      <c r="W100" s="43"/>
      <c r="X100" s="43">
        <f t="shared" si="34"/>
        <v>274.6740430611394</v>
      </c>
      <c r="Y100" s="43">
        <v>339</v>
      </c>
      <c r="Z100" s="43">
        <f>Y100</f>
        <v>339</v>
      </c>
      <c r="AA100" s="43"/>
      <c r="AB100" s="43"/>
      <c r="AC100" s="43"/>
      <c r="AD100" s="43">
        <f t="shared" si="35"/>
        <v>339</v>
      </c>
      <c r="AE100" s="43">
        <v>469.7</v>
      </c>
      <c r="AF100" s="43"/>
      <c r="AG100" s="43"/>
      <c r="AH100" s="42">
        <f t="shared" si="28"/>
        <v>469.7</v>
      </c>
      <c r="AI100" s="41">
        <v>249</v>
      </c>
      <c r="AJ100" s="40">
        <v>183.6</v>
      </c>
      <c r="AK100" s="49">
        <v>245.2</v>
      </c>
      <c r="AL100" s="39">
        <f t="shared" si="29"/>
        <v>245.2</v>
      </c>
      <c r="AM100" s="49"/>
      <c r="AN100" s="49">
        <f t="shared" si="30"/>
        <v>245.2</v>
      </c>
      <c r="AO100" s="49">
        <f>704.2/3</f>
        <v>234.73333333333335</v>
      </c>
    </row>
    <row r="101" spans="1:41" s="18" customFormat="1" ht="13.2" x14ac:dyDescent="0.25">
      <c r="A101" s="46">
        <v>24140</v>
      </c>
      <c r="B101" s="45" t="s">
        <v>204</v>
      </c>
      <c r="C101" s="43"/>
      <c r="D101" s="43"/>
      <c r="E101" s="43"/>
      <c r="F101" s="43"/>
      <c r="G101" s="43"/>
      <c r="H101" s="44"/>
      <c r="I101" s="43"/>
      <c r="J101" s="43"/>
      <c r="K101" s="43"/>
      <c r="L101" s="43"/>
      <c r="M101" s="43"/>
      <c r="N101" s="43"/>
      <c r="O101" s="43"/>
      <c r="P101" s="43"/>
      <c r="Q101" s="44"/>
      <c r="R101" s="43"/>
      <c r="S101" s="43"/>
      <c r="T101" s="43"/>
      <c r="U101" s="43">
        <v>235800</v>
      </c>
      <c r="V101" s="43"/>
      <c r="W101" s="43"/>
      <c r="X101" s="43">
        <f t="shared" si="34"/>
        <v>235800</v>
      </c>
      <c r="Y101" s="43"/>
      <c r="Z101" s="43">
        <f>Y101</f>
        <v>0</v>
      </c>
      <c r="AA101" s="43"/>
      <c r="AB101" s="43"/>
      <c r="AC101" s="43"/>
      <c r="AD101" s="43">
        <f t="shared" si="35"/>
        <v>0</v>
      </c>
      <c r="AE101" s="43"/>
      <c r="AF101" s="43"/>
      <c r="AG101" s="43"/>
      <c r="AH101" s="42">
        <f t="shared" si="28"/>
        <v>0</v>
      </c>
      <c r="AI101" s="41"/>
      <c r="AJ101" s="57">
        <v>0</v>
      </c>
      <c r="AK101" s="49"/>
      <c r="AL101" s="39">
        <f t="shared" si="29"/>
        <v>0</v>
      </c>
      <c r="AM101" s="49"/>
      <c r="AN101" s="49">
        <f t="shared" si="30"/>
        <v>0</v>
      </c>
      <c r="AO101" s="49"/>
    </row>
    <row r="102" spans="1:41" s="18" customFormat="1" ht="13.2" x14ac:dyDescent="0.25">
      <c r="A102" s="46">
        <v>24150</v>
      </c>
      <c r="B102" s="45" t="s">
        <v>203</v>
      </c>
      <c r="C102" s="43"/>
      <c r="D102" s="43"/>
      <c r="E102" s="43"/>
      <c r="F102" s="43"/>
      <c r="G102" s="43"/>
      <c r="H102" s="44"/>
      <c r="I102" s="43"/>
      <c r="J102" s="43"/>
      <c r="K102" s="43"/>
      <c r="L102" s="43"/>
      <c r="M102" s="43"/>
      <c r="N102" s="43"/>
      <c r="O102" s="43"/>
      <c r="P102" s="43"/>
      <c r="Q102" s="44"/>
      <c r="R102" s="43"/>
      <c r="S102" s="43"/>
      <c r="T102" s="43"/>
      <c r="U102" s="43"/>
      <c r="V102" s="43"/>
      <c r="W102" s="43"/>
      <c r="X102" s="43">
        <f t="shared" si="34"/>
        <v>0</v>
      </c>
      <c r="Y102" s="43"/>
      <c r="Z102" s="43">
        <v>170302.2</v>
      </c>
      <c r="AA102" s="43"/>
      <c r="AB102" s="43"/>
      <c r="AC102" s="43"/>
      <c r="AD102" s="43">
        <f t="shared" si="35"/>
        <v>170302.2</v>
      </c>
      <c r="AE102" s="43"/>
      <c r="AF102" s="43"/>
      <c r="AG102" s="43"/>
      <c r="AH102" s="42">
        <f t="shared" si="28"/>
        <v>0</v>
      </c>
      <c r="AI102" s="41"/>
      <c r="AJ102" s="57">
        <v>0</v>
      </c>
      <c r="AK102" s="49"/>
      <c r="AL102" s="39">
        <f t="shared" si="29"/>
        <v>0</v>
      </c>
      <c r="AM102" s="49"/>
      <c r="AN102" s="49">
        <f t="shared" si="30"/>
        <v>0</v>
      </c>
      <c r="AO102" s="49"/>
    </row>
    <row r="103" spans="1:41" s="18" customFormat="1" ht="20.399999999999999" x14ac:dyDescent="0.25">
      <c r="A103" s="46">
        <v>24220</v>
      </c>
      <c r="B103" s="45" t="s">
        <v>202</v>
      </c>
      <c r="C103" s="43">
        <v>30000</v>
      </c>
      <c r="D103" s="43">
        <f t="shared" ref="D103:D114" si="36">C103/12</f>
        <v>2500</v>
      </c>
      <c r="E103" s="43"/>
      <c r="F103" s="43">
        <v>5000</v>
      </c>
      <c r="G103" s="43">
        <f t="shared" ref="G103:G114" si="37">C103*23.3/100</f>
        <v>6990</v>
      </c>
      <c r="H103" s="44">
        <f t="shared" ref="H103:H109" si="38">(E103+F103)/(8725103.2+9421212.6)*100</f>
        <v>2.7553802408751209E-2</v>
      </c>
      <c r="I103" s="43">
        <v>2500</v>
      </c>
      <c r="J103" s="43"/>
      <c r="K103" s="43"/>
      <c r="L103" s="43">
        <f t="shared" ref="L103:L114" si="39">SUM(I103:K103)</f>
        <v>2500</v>
      </c>
      <c r="M103" s="43">
        <v>2500</v>
      </c>
      <c r="N103" s="43">
        <f t="shared" ref="N103:N115" si="40">M103-L103</f>
        <v>0</v>
      </c>
      <c r="O103" s="43">
        <f t="shared" ref="O103:O121" si="41">M103/L103*100</f>
        <v>100</v>
      </c>
      <c r="P103" s="43">
        <v>7500</v>
      </c>
      <c r="Q103" s="44">
        <f t="shared" ref="Q103:Q114" si="42">P103/24509630.1*100</f>
        <v>3.0600217014291043E-2</v>
      </c>
      <c r="R103" s="43">
        <f t="shared" ref="R103:R109" si="43">6201897*Q103/100</f>
        <v>1897.7939410028057</v>
      </c>
      <c r="S103" s="43">
        <v>602.20000000000005</v>
      </c>
      <c r="T103" s="43"/>
      <c r="U103" s="43"/>
      <c r="V103" s="43"/>
      <c r="W103" s="43"/>
      <c r="X103" s="43">
        <f t="shared" si="34"/>
        <v>2499.9939410028055</v>
      </c>
      <c r="Y103" s="43"/>
      <c r="Z103" s="43">
        <f>D103</f>
        <v>2500</v>
      </c>
      <c r="AA103" s="43"/>
      <c r="AB103" s="43"/>
      <c r="AC103" s="43"/>
      <c r="AD103" s="43">
        <f t="shared" si="35"/>
        <v>2500</v>
      </c>
      <c r="AE103" s="43">
        <v>2500</v>
      </c>
      <c r="AF103" s="43"/>
      <c r="AG103" s="43"/>
      <c r="AH103" s="42">
        <f t="shared" si="28"/>
        <v>2500</v>
      </c>
      <c r="AI103" s="41">
        <f>2000+500</f>
        <v>2500</v>
      </c>
      <c r="AJ103" s="40">
        <v>2500</v>
      </c>
      <c r="AK103" s="49">
        <f>2500-1000</f>
        <v>1500</v>
      </c>
      <c r="AL103" s="39">
        <f t="shared" si="29"/>
        <v>1500</v>
      </c>
      <c r="AM103" s="49"/>
      <c r="AN103" s="49">
        <f t="shared" si="30"/>
        <v>1500</v>
      </c>
      <c r="AO103" s="49">
        <f>7500/3</f>
        <v>2500</v>
      </c>
    </row>
    <row r="104" spans="1:41" s="18" customFormat="1" ht="13.2" x14ac:dyDescent="0.25">
      <c r="A104" s="46">
        <v>24320</v>
      </c>
      <c r="B104" s="45" t="s">
        <v>201</v>
      </c>
      <c r="C104" s="43">
        <v>30000</v>
      </c>
      <c r="D104" s="43">
        <f t="shared" si="36"/>
        <v>2500</v>
      </c>
      <c r="E104" s="43"/>
      <c r="F104" s="43">
        <v>5000</v>
      </c>
      <c r="G104" s="43">
        <f t="shared" si="37"/>
        <v>6990</v>
      </c>
      <c r="H104" s="44">
        <f t="shared" si="38"/>
        <v>2.7553802408751209E-2</v>
      </c>
      <c r="I104" s="43">
        <v>2500</v>
      </c>
      <c r="J104" s="43"/>
      <c r="K104" s="43"/>
      <c r="L104" s="43">
        <f t="shared" si="39"/>
        <v>2500</v>
      </c>
      <c r="M104" s="43">
        <v>2500</v>
      </c>
      <c r="N104" s="43">
        <f t="shared" si="40"/>
        <v>0</v>
      </c>
      <c r="O104" s="43">
        <f t="shared" si="41"/>
        <v>100</v>
      </c>
      <c r="P104" s="43">
        <v>7500</v>
      </c>
      <c r="Q104" s="44">
        <f t="shared" si="42"/>
        <v>3.0600217014291043E-2</v>
      </c>
      <c r="R104" s="43">
        <f t="shared" si="43"/>
        <v>1897.7939410028057</v>
      </c>
      <c r="S104" s="43">
        <v>602.20000000000005</v>
      </c>
      <c r="T104" s="43"/>
      <c r="U104" s="43"/>
      <c r="V104" s="43"/>
      <c r="W104" s="43"/>
      <c r="X104" s="43">
        <f t="shared" si="34"/>
        <v>2499.9939410028055</v>
      </c>
      <c r="Y104" s="43"/>
      <c r="Z104" s="43">
        <f>D104</f>
        <v>2500</v>
      </c>
      <c r="AA104" s="43"/>
      <c r="AB104" s="43"/>
      <c r="AC104" s="43"/>
      <c r="AD104" s="43">
        <f t="shared" si="35"/>
        <v>2500</v>
      </c>
      <c r="AE104" s="43">
        <v>2500</v>
      </c>
      <c r="AF104" s="43"/>
      <c r="AG104" s="43"/>
      <c r="AH104" s="42">
        <f t="shared" si="28"/>
        <v>2500</v>
      </c>
      <c r="AI104" s="41">
        <f>1500+1000</f>
        <v>2500</v>
      </c>
      <c r="AJ104" s="40">
        <v>2500</v>
      </c>
      <c r="AK104" s="49">
        <f>2500-1000</f>
        <v>1500</v>
      </c>
      <c r="AL104" s="39">
        <f t="shared" si="29"/>
        <v>1500</v>
      </c>
      <c r="AM104" s="49"/>
      <c r="AN104" s="49">
        <f t="shared" si="30"/>
        <v>1500</v>
      </c>
      <c r="AO104" s="114">
        <f>7500/3</f>
        <v>2500</v>
      </c>
    </row>
    <row r="105" spans="1:41" s="18" customFormat="1" ht="13.2" x14ac:dyDescent="0.25">
      <c r="A105" s="46">
        <v>25110</v>
      </c>
      <c r="B105" s="45" t="s">
        <v>200</v>
      </c>
      <c r="C105" s="43">
        <v>129727.8</v>
      </c>
      <c r="D105" s="43">
        <f t="shared" si="36"/>
        <v>10810.65</v>
      </c>
      <c r="E105" s="43">
        <v>12043.9</v>
      </c>
      <c r="F105" s="43">
        <v>8535</v>
      </c>
      <c r="G105" s="43">
        <f t="shared" si="37"/>
        <v>30226.577400000002</v>
      </c>
      <c r="H105" s="44">
        <f t="shared" si="38"/>
        <v>0.11340538887789003</v>
      </c>
      <c r="I105" s="43">
        <v>14309.7</v>
      </c>
      <c r="J105" s="43"/>
      <c r="K105" s="43"/>
      <c r="L105" s="43">
        <f t="shared" si="39"/>
        <v>14309.7</v>
      </c>
      <c r="M105" s="43">
        <v>14309.7</v>
      </c>
      <c r="N105" s="43">
        <f t="shared" si="40"/>
        <v>0</v>
      </c>
      <c r="O105" s="43">
        <f t="shared" si="41"/>
        <v>100</v>
      </c>
      <c r="P105" s="43">
        <v>36165.200000000004</v>
      </c>
      <c r="Q105" s="44">
        <f t="shared" si="42"/>
        <v>0.14755506244869848</v>
      </c>
      <c r="R105" s="43">
        <f t="shared" si="43"/>
        <v>9151.2129913539575</v>
      </c>
      <c r="S105" s="43"/>
      <c r="T105" s="43"/>
      <c r="U105" s="43"/>
      <c r="V105" s="43"/>
      <c r="W105" s="43"/>
      <c r="X105" s="43">
        <f t="shared" si="34"/>
        <v>9151.2129913539575</v>
      </c>
      <c r="Y105" s="43">
        <v>11420</v>
      </c>
      <c r="Z105" s="43">
        <f t="shared" ref="Z105:Z110" si="44">Y105</f>
        <v>11420</v>
      </c>
      <c r="AA105" s="43">
        <v>11000</v>
      </c>
      <c r="AB105" s="43"/>
      <c r="AC105" s="43"/>
      <c r="AD105" s="43">
        <f t="shared" si="35"/>
        <v>22420</v>
      </c>
      <c r="AE105" s="43">
        <v>15407.7</v>
      </c>
      <c r="AF105" s="43"/>
      <c r="AG105" s="43"/>
      <c r="AH105" s="42">
        <f t="shared" si="28"/>
        <v>15407.7</v>
      </c>
      <c r="AI105" s="41">
        <f>15408+1180.8-1180.8</f>
        <v>15408</v>
      </c>
      <c r="AJ105" s="40">
        <v>14092.4</v>
      </c>
      <c r="AK105" s="49">
        <f>19917.3-7000</f>
        <v>12917.3</v>
      </c>
      <c r="AL105" s="39">
        <f t="shared" si="29"/>
        <v>12917.3</v>
      </c>
      <c r="AM105" s="49"/>
      <c r="AN105" s="49">
        <f t="shared" si="30"/>
        <v>12917.3</v>
      </c>
      <c r="AO105" s="49">
        <f>32497.9/3</f>
        <v>10832.633333333333</v>
      </c>
    </row>
    <row r="106" spans="1:41" s="18" customFormat="1" ht="13.2" x14ac:dyDescent="0.25">
      <c r="A106" s="46">
        <v>25120</v>
      </c>
      <c r="B106" s="45" t="s">
        <v>199</v>
      </c>
      <c r="C106" s="43">
        <v>242185.3</v>
      </c>
      <c r="D106" s="43">
        <f t="shared" si="36"/>
        <v>20182.108333333334</v>
      </c>
      <c r="E106" s="43">
        <v>21163.4</v>
      </c>
      <c r="F106" s="43">
        <v>16645.3</v>
      </c>
      <c r="G106" s="43">
        <f t="shared" si="37"/>
        <v>56429.174900000005</v>
      </c>
      <c r="H106" s="44">
        <f t="shared" si="38"/>
        <v>0.20835468982635033</v>
      </c>
      <c r="I106" s="43">
        <v>22973.200000000001</v>
      </c>
      <c r="J106" s="43">
        <v>6955.7</v>
      </c>
      <c r="K106" s="43"/>
      <c r="L106" s="43">
        <f t="shared" si="39"/>
        <v>29928.9</v>
      </c>
      <c r="M106" s="43">
        <v>29928.9</v>
      </c>
      <c r="N106" s="43">
        <f t="shared" si="40"/>
        <v>0</v>
      </c>
      <c r="O106" s="43">
        <f t="shared" si="41"/>
        <v>100</v>
      </c>
      <c r="P106" s="43">
        <v>63843.600000000006</v>
      </c>
      <c r="Q106" s="44">
        <f t="shared" si="42"/>
        <v>0.26048373532981228</v>
      </c>
      <c r="R106" s="43">
        <f t="shared" si="43"/>
        <v>16154.932966907569</v>
      </c>
      <c r="S106" s="43">
        <v>1317.2</v>
      </c>
      <c r="T106" s="43"/>
      <c r="U106" s="43"/>
      <c r="V106" s="43"/>
      <c r="W106" s="43"/>
      <c r="X106" s="43">
        <f t="shared" si="34"/>
        <v>17472.132966907568</v>
      </c>
      <c r="Y106" s="43">
        <v>20670</v>
      </c>
      <c r="Z106" s="43">
        <f t="shared" si="44"/>
        <v>20670</v>
      </c>
      <c r="AA106" s="43"/>
      <c r="AB106" s="43"/>
      <c r="AC106" s="43"/>
      <c r="AD106" s="43">
        <f t="shared" si="35"/>
        <v>20670</v>
      </c>
      <c r="AE106" s="43">
        <v>28521.3</v>
      </c>
      <c r="AF106" s="43"/>
      <c r="AG106" s="43"/>
      <c r="AH106" s="42">
        <f t="shared" si="28"/>
        <v>28521.3</v>
      </c>
      <c r="AI106" s="41">
        <f>18657.8+1180.8</f>
        <v>19838.599999999999</v>
      </c>
      <c r="AJ106" s="40">
        <v>20888.7</v>
      </c>
      <c r="AK106" s="49">
        <v>26177.3</v>
      </c>
      <c r="AL106" s="39">
        <f t="shared" si="29"/>
        <v>26177.3</v>
      </c>
      <c r="AM106" s="49"/>
      <c r="AN106" s="49">
        <f t="shared" si="30"/>
        <v>26177.3</v>
      </c>
      <c r="AO106" s="49">
        <f>50073.6/3</f>
        <v>16691.2</v>
      </c>
    </row>
    <row r="107" spans="1:41" s="18" customFormat="1" ht="13.2" x14ac:dyDescent="0.25">
      <c r="A107" s="46">
        <v>25220</v>
      </c>
      <c r="B107" s="45" t="s">
        <v>198</v>
      </c>
      <c r="C107" s="43">
        <v>2632</v>
      </c>
      <c r="D107" s="43">
        <f t="shared" si="36"/>
        <v>219.33333333333334</v>
      </c>
      <c r="E107" s="43">
        <v>180</v>
      </c>
      <c r="F107" s="43">
        <v>161.6</v>
      </c>
      <c r="G107" s="43">
        <f t="shared" si="37"/>
        <v>613.25599999999997</v>
      </c>
      <c r="H107" s="44">
        <f t="shared" si="38"/>
        <v>1.8824757805658825E-3</v>
      </c>
      <c r="I107" s="43">
        <v>377.8</v>
      </c>
      <c r="J107" s="43"/>
      <c r="K107" s="43"/>
      <c r="L107" s="43">
        <f t="shared" si="39"/>
        <v>377.8</v>
      </c>
      <c r="M107" s="43">
        <v>332</v>
      </c>
      <c r="N107" s="43">
        <f t="shared" si="40"/>
        <v>-45.800000000000011</v>
      </c>
      <c r="O107" s="43">
        <f t="shared" si="41"/>
        <v>87.877183695076752</v>
      </c>
      <c r="P107" s="43">
        <v>861.1</v>
      </c>
      <c r="Q107" s="44">
        <f t="shared" si="42"/>
        <v>3.5133129161341362E-3</v>
      </c>
      <c r="R107" s="43">
        <f t="shared" si="43"/>
        <v>217.89204834633551</v>
      </c>
      <c r="S107" s="43"/>
      <c r="T107" s="43"/>
      <c r="U107" s="43"/>
      <c r="V107" s="43"/>
      <c r="W107" s="43"/>
      <c r="X107" s="43">
        <f t="shared" si="34"/>
        <v>217.89204834633551</v>
      </c>
      <c r="Y107" s="43">
        <v>231</v>
      </c>
      <c r="Z107" s="43">
        <f t="shared" si="44"/>
        <v>231</v>
      </c>
      <c r="AA107" s="43"/>
      <c r="AB107" s="43"/>
      <c r="AC107" s="43"/>
      <c r="AD107" s="43">
        <f t="shared" si="35"/>
        <v>231</v>
      </c>
      <c r="AE107" s="43">
        <v>409.7</v>
      </c>
      <c r="AF107" s="43"/>
      <c r="AG107" s="43"/>
      <c r="AH107" s="42">
        <f t="shared" si="28"/>
        <v>409.7</v>
      </c>
      <c r="AI107" s="41">
        <v>180.8</v>
      </c>
      <c r="AJ107" s="40">
        <v>94.3</v>
      </c>
      <c r="AK107" s="49">
        <v>266.66666666666669</v>
      </c>
      <c r="AL107" s="39">
        <f t="shared" si="29"/>
        <v>266.66666666666669</v>
      </c>
      <c r="AM107" s="49"/>
      <c r="AN107" s="49">
        <f t="shared" si="30"/>
        <v>266.66666666666669</v>
      </c>
      <c r="AO107" s="49">
        <f>502.5/3</f>
        <v>167.5</v>
      </c>
    </row>
    <row r="108" spans="1:41" s="18" customFormat="1" ht="13.5" customHeight="1" x14ac:dyDescent="0.25">
      <c r="A108" s="46">
        <v>25320</v>
      </c>
      <c r="B108" s="45" t="s">
        <v>197</v>
      </c>
      <c r="C108" s="43">
        <v>9960.1</v>
      </c>
      <c r="D108" s="43">
        <f t="shared" si="36"/>
        <v>830.00833333333333</v>
      </c>
      <c r="E108" s="43">
        <v>744.9</v>
      </c>
      <c r="F108" s="43">
        <v>542.4</v>
      </c>
      <c r="G108" s="43">
        <f t="shared" si="37"/>
        <v>2320.7033000000001</v>
      </c>
      <c r="H108" s="44">
        <f t="shared" si="38"/>
        <v>7.0940019681570848E-3</v>
      </c>
      <c r="I108" s="43">
        <v>862.3</v>
      </c>
      <c r="J108" s="43"/>
      <c r="K108" s="43"/>
      <c r="L108" s="43">
        <f t="shared" si="39"/>
        <v>862.3</v>
      </c>
      <c r="M108" s="43">
        <v>862.3</v>
      </c>
      <c r="N108" s="43">
        <f t="shared" si="40"/>
        <v>0</v>
      </c>
      <c r="O108" s="43">
        <f t="shared" si="41"/>
        <v>100</v>
      </c>
      <c r="P108" s="43">
        <v>2460.5000000000005</v>
      </c>
      <c r="Q108" s="44">
        <f t="shared" si="42"/>
        <v>1.0038911195155084E-2</v>
      </c>
      <c r="R108" s="43">
        <f t="shared" si="43"/>
        <v>622.6029322449873</v>
      </c>
      <c r="S108" s="43"/>
      <c r="T108" s="43"/>
      <c r="U108" s="43"/>
      <c r="V108" s="43"/>
      <c r="W108" s="43"/>
      <c r="X108" s="43">
        <f t="shared" si="34"/>
        <v>622.6029322449873</v>
      </c>
      <c r="Y108" s="43">
        <v>631.29999999999995</v>
      </c>
      <c r="Z108" s="43">
        <f t="shared" si="44"/>
        <v>631.29999999999995</v>
      </c>
      <c r="AA108" s="43"/>
      <c r="AB108" s="43"/>
      <c r="AC108" s="43"/>
      <c r="AD108" s="43">
        <f t="shared" si="35"/>
        <v>631.29999999999995</v>
      </c>
      <c r="AE108" s="43">
        <f>1081.2-200</f>
        <v>881.2</v>
      </c>
      <c r="AF108" s="43">
        <f>20+124.5</f>
        <v>144.5</v>
      </c>
      <c r="AG108" s="43"/>
      <c r="AH108" s="42">
        <f t="shared" si="28"/>
        <v>1025.7</v>
      </c>
      <c r="AI108" s="41">
        <v>773.6</v>
      </c>
      <c r="AJ108" s="40">
        <v>738.4</v>
      </c>
      <c r="AK108" s="49">
        <v>781.13333333333333</v>
      </c>
      <c r="AL108" s="39">
        <f t="shared" si="29"/>
        <v>781.13333333333333</v>
      </c>
      <c r="AM108" s="49"/>
      <c r="AN108" s="49">
        <f t="shared" si="30"/>
        <v>781.13333333333333</v>
      </c>
      <c r="AO108" s="49">
        <f>1967.9/3</f>
        <v>655.9666666666667</v>
      </c>
    </row>
    <row r="109" spans="1:41" s="18" customFormat="1" ht="12.75" customHeight="1" x14ac:dyDescent="0.25">
      <c r="A109" s="46">
        <v>25420</v>
      </c>
      <c r="B109" s="45" t="s">
        <v>196</v>
      </c>
      <c r="C109" s="43">
        <v>10620.2</v>
      </c>
      <c r="D109" s="43">
        <f t="shared" si="36"/>
        <v>885.01666666666677</v>
      </c>
      <c r="E109" s="43">
        <v>760.3</v>
      </c>
      <c r="F109" s="43">
        <v>784</v>
      </c>
      <c r="G109" s="43">
        <f t="shared" si="37"/>
        <v>2474.5066000000002</v>
      </c>
      <c r="H109" s="44">
        <f t="shared" si="38"/>
        <v>8.5102674119668983E-3</v>
      </c>
      <c r="I109" s="43">
        <v>854.9</v>
      </c>
      <c r="J109" s="43"/>
      <c r="K109" s="43"/>
      <c r="L109" s="43">
        <f t="shared" si="39"/>
        <v>854.9</v>
      </c>
      <c r="M109" s="43">
        <v>766.6</v>
      </c>
      <c r="N109" s="43">
        <f t="shared" si="40"/>
        <v>-88.299999999999955</v>
      </c>
      <c r="O109" s="43">
        <f t="shared" si="41"/>
        <v>89.671306585565574</v>
      </c>
      <c r="P109" s="43">
        <v>2823</v>
      </c>
      <c r="Q109" s="44">
        <f t="shared" si="42"/>
        <v>1.151792168417915E-2</v>
      </c>
      <c r="R109" s="43">
        <f t="shared" si="43"/>
        <v>714.3296393934562</v>
      </c>
      <c r="S109" s="43"/>
      <c r="T109" s="43"/>
      <c r="U109" s="43"/>
      <c r="V109" s="43"/>
      <c r="W109" s="43"/>
      <c r="X109" s="43">
        <f t="shared" si="34"/>
        <v>714.3296393934562</v>
      </c>
      <c r="Y109" s="43">
        <v>744</v>
      </c>
      <c r="Z109" s="43">
        <f t="shared" si="44"/>
        <v>744</v>
      </c>
      <c r="AA109" s="43"/>
      <c r="AB109" s="43"/>
      <c r="AC109" s="43"/>
      <c r="AD109" s="43">
        <f t="shared" si="35"/>
        <v>744</v>
      </c>
      <c r="AE109" s="43">
        <f>1109.5-200</f>
        <v>909.5</v>
      </c>
      <c r="AF109" s="43"/>
      <c r="AG109" s="43"/>
      <c r="AH109" s="42">
        <f t="shared" si="28"/>
        <v>909.5</v>
      </c>
      <c r="AI109" s="41">
        <v>909.5</v>
      </c>
      <c r="AJ109" s="40">
        <v>880</v>
      </c>
      <c r="AK109" s="49">
        <v>989.58974358974365</v>
      </c>
      <c r="AL109" s="39">
        <f t="shared" si="29"/>
        <v>989.58974358974365</v>
      </c>
      <c r="AM109" s="49"/>
      <c r="AN109" s="49">
        <f t="shared" si="30"/>
        <v>989.58974358974365</v>
      </c>
      <c r="AO109" s="49">
        <f>2257/3</f>
        <v>752.33333333333337</v>
      </c>
    </row>
    <row r="110" spans="1:41" s="18" customFormat="1" ht="13.2" x14ac:dyDescent="0.25">
      <c r="A110" s="48">
        <v>25910</v>
      </c>
      <c r="B110" s="45" t="s">
        <v>195</v>
      </c>
      <c r="C110" s="43">
        <v>100000</v>
      </c>
      <c r="D110" s="43">
        <f t="shared" si="36"/>
        <v>8333.3333333333339</v>
      </c>
      <c r="E110" s="43"/>
      <c r="F110" s="43"/>
      <c r="G110" s="43">
        <f t="shared" si="37"/>
        <v>23300</v>
      </c>
      <c r="H110" s="44">
        <v>0.12514600000000001</v>
      </c>
      <c r="I110" s="43">
        <f>7990664.7*H110/100+8000</f>
        <v>17999.997245462</v>
      </c>
      <c r="J110" s="43"/>
      <c r="K110" s="43"/>
      <c r="L110" s="43">
        <f t="shared" si="39"/>
        <v>17999.997245462</v>
      </c>
      <c r="M110" s="43">
        <v>18000</v>
      </c>
      <c r="N110" s="43">
        <f t="shared" si="40"/>
        <v>2.754537999862805E-3</v>
      </c>
      <c r="O110" s="43">
        <f t="shared" si="41"/>
        <v>100.00001530299123</v>
      </c>
      <c r="P110" s="43">
        <v>15000</v>
      </c>
      <c r="Q110" s="44">
        <f t="shared" si="42"/>
        <v>6.1200434028582086E-2</v>
      </c>
      <c r="R110" s="43">
        <f>6201897*Q110/100-3795.6</f>
        <v>-1.2117994388518127E-2</v>
      </c>
      <c r="S110" s="43"/>
      <c r="T110" s="43"/>
      <c r="U110" s="43">
        <v>10000</v>
      </c>
      <c r="V110" s="43"/>
      <c r="W110" s="43"/>
      <c r="X110" s="43">
        <f t="shared" si="34"/>
        <v>9999.987882005611</v>
      </c>
      <c r="Y110" s="43"/>
      <c r="Z110" s="43">
        <f t="shared" si="44"/>
        <v>0</v>
      </c>
      <c r="AA110" s="43"/>
      <c r="AB110" s="43"/>
      <c r="AC110" s="43">
        <v>1500</v>
      </c>
      <c r="AD110" s="43">
        <f t="shared" si="35"/>
        <v>1500</v>
      </c>
      <c r="AE110" s="43"/>
      <c r="AF110" s="43"/>
      <c r="AG110" s="43"/>
      <c r="AH110" s="42">
        <f t="shared" si="28"/>
        <v>0</v>
      </c>
      <c r="AI110" s="41">
        <f>7000</f>
        <v>7000</v>
      </c>
      <c r="AJ110" s="40">
        <v>0</v>
      </c>
      <c r="AK110" s="49">
        <v>6500</v>
      </c>
      <c r="AL110" s="39">
        <f t="shared" si="29"/>
        <v>6500</v>
      </c>
      <c r="AM110" s="49"/>
      <c r="AN110" s="49">
        <f t="shared" si="30"/>
        <v>6500</v>
      </c>
      <c r="AO110" s="49"/>
    </row>
    <row r="111" spans="1:41" s="18" customFormat="1" ht="13.2" x14ac:dyDescent="0.25">
      <c r="A111" s="46">
        <v>26612</v>
      </c>
      <c r="B111" s="45" t="s">
        <v>194</v>
      </c>
      <c r="C111" s="43">
        <v>1609300</v>
      </c>
      <c r="D111" s="43">
        <f t="shared" si="36"/>
        <v>134108.33333333334</v>
      </c>
      <c r="E111" s="43">
        <v>134000</v>
      </c>
      <c r="F111" s="43">
        <v>126518</v>
      </c>
      <c r="G111" s="43">
        <f t="shared" si="37"/>
        <v>374966.9</v>
      </c>
      <c r="H111" s="44">
        <f>(E111+F111)/(8725103.2+9421212.6)*100</f>
        <v>1.4356522991846092</v>
      </c>
      <c r="I111" s="43">
        <v>125714</v>
      </c>
      <c r="J111" s="43"/>
      <c r="K111" s="43"/>
      <c r="L111" s="43">
        <f t="shared" si="39"/>
        <v>125714</v>
      </c>
      <c r="M111" s="43">
        <v>125714</v>
      </c>
      <c r="N111" s="43">
        <f t="shared" si="40"/>
        <v>0</v>
      </c>
      <c r="O111" s="43">
        <f t="shared" si="41"/>
        <v>100</v>
      </c>
      <c r="P111" s="43">
        <v>386232</v>
      </c>
      <c r="Q111" s="44">
        <f t="shared" si="42"/>
        <v>1.5758377357151545</v>
      </c>
      <c r="R111" s="43">
        <f>6201897*Q111/100</f>
        <v>97731.833256186103</v>
      </c>
      <c r="S111" s="43">
        <f>129000-R111</f>
        <v>31268.166743813897</v>
      </c>
      <c r="T111" s="43"/>
      <c r="U111" s="43"/>
      <c r="V111" s="43"/>
      <c r="W111" s="43"/>
      <c r="X111" s="43">
        <f t="shared" si="34"/>
        <v>129000</v>
      </c>
      <c r="Y111" s="43"/>
      <c r="Z111" s="43">
        <v>129000</v>
      </c>
      <c r="AA111" s="43"/>
      <c r="AB111" s="43"/>
      <c r="AC111" s="43"/>
      <c r="AD111" s="43">
        <f t="shared" si="35"/>
        <v>129000</v>
      </c>
      <c r="AE111" s="43">
        <v>132847</v>
      </c>
      <c r="AF111" s="43"/>
      <c r="AG111" s="43"/>
      <c r="AH111" s="42">
        <f t="shared" si="28"/>
        <v>132847</v>
      </c>
      <c r="AI111" s="41">
        <v>166294.29999999999</v>
      </c>
      <c r="AJ111" s="40">
        <v>166994.29999999999</v>
      </c>
      <c r="AK111" s="49">
        <f>170000-36000</f>
        <v>134000</v>
      </c>
      <c r="AL111" s="39">
        <f t="shared" si="29"/>
        <v>134000</v>
      </c>
      <c r="AM111" s="49"/>
      <c r="AN111" s="49">
        <f t="shared" si="30"/>
        <v>134000</v>
      </c>
      <c r="AO111" s="49">
        <f>337953/3</f>
        <v>112651</v>
      </c>
    </row>
    <row r="112" spans="1:41" s="18" customFormat="1" ht="25.5" customHeight="1" x14ac:dyDescent="0.25">
      <c r="A112" s="46">
        <v>26613</v>
      </c>
      <c r="B112" s="45" t="s">
        <v>193</v>
      </c>
      <c r="C112" s="43">
        <v>450700</v>
      </c>
      <c r="D112" s="43">
        <f t="shared" si="36"/>
        <v>37558.333333333336</v>
      </c>
      <c r="E112" s="43">
        <v>42668</v>
      </c>
      <c r="F112" s="43"/>
      <c r="G112" s="43">
        <f t="shared" si="37"/>
        <v>105013.1</v>
      </c>
      <c r="H112" s="44">
        <f>(E112+F112)/(8725103.2+9421212.6)*100</f>
        <v>0.23513312823531929</v>
      </c>
      <c r="I112" s="43">
        <v>65500</v>
      </c>
      <c r="J112" s="43"/>
      <c r="K112" s="43"/>
      <c r="L112" s="43">
        <f t="shared" si="39"/>
        <v>65500</v>
      </c>
      <c r="M112" s="43">
        <v>25000</v>
      </c>
      <c r="N112" s="43">
        <f t="shared" si="40"/>
        <v>-40500</v>
      </c>
      <c r="O112" s="43">
        <f t="shared" si="41"/>
        <v>38.167938931297712</v>
      </c>
      <c r="P112" s="43">
        <v>108168</v>
      </c>
      <c r="Q112" s="44">
        <f t="shared" si="42"/>
        <v>0.44132856986691116</v>
      </c>
      <c r="R112" s="43">
        <f>6201897*Q112/100</f>
        <v>27370.743334718867</v>
      </c>
      <c r="S112" s="43">
        <f>69000-R112-20000</f>
        <v>21629.256665281137</v>
      </c>
      <c r="T112" s="43">
        <f>16600+6450</f>
        <v>23050</v>
      </c>
      <c r="U112" s="43"/>
      <c r="V112" s="43"/>
      <c r="W112" s="43"/>
      <c r="X112" s="43">
        <f t="shared" si="34"/>
        <v>72050</v>
      </c>
      <c r="Y112" s="43"/>
      <c r="Z112" s="43">
        <v>31000</v>
      </c>
      <c r="AA112" s="43"/>
      <c r="AB112" s="43"/>
      <c r="AC112" s="43">
        <f>52900+6000</f>
        <v>58900</v>
      </c>
      <c r="AD112" s="43">
        <f t="shared" si="35"/>
        <v>89900</v>
      </c>
      <c r="AE112" s="43">
        <f>57273.7-47273.7</f>
        <v>10000</v>
      </c>
      <c r="AF112" s="43">
        <v>11000</v>
      </c>
      <c r="AG112" s="43"/>
      <c r="AH112" s="42">
        <f t="shared" si="28"/>
        <v>21000</v>
      </c>
      <c r="AI112" s="41">
        <f>40000+3500+45310.4</f>
        <v>88810.4</v>
      </c>
      <c r="AJ112" s="40">
        <v>234809</v>
      </c>
      <c r="AK112" s="49">
        <v>217600</v>
      </c>
      <c r="AL112" s="39">
        <f t="shared" si="29"/>
        <v>217600</v>
      </c>
      <c r="AM112" s="49"/>
      <c r="AN112" s="49">
        <f t="shared" si="30"/>
        <v>217600</v>
      </c>
      <c r="AO112" s="114"/>
    </row>
    <row r="113" spans="1:41" s="18" customFormat="1" ht="13.2" x14ac:dyDescent="0.25">
      <c r="A113" s="46">
        <v>26621</v>
      </c>
      <c r="B113" s="45" t="s">
        <v>192</v>
      </c>
      <c r="C113" s="43">
        <v>500000</v>
      </c>
      <c r="D113" s="43">
        <f t="shared" si="36"/>
        <v>41666.666666666664</v>
      </c>
      <c r="E113" s="43"/>
      <c r="F113" s="43"/>
      <c r="G113" s="43">
        <f t="shared" si="37"/>
        <v>116500</v>
      </c>
      <c r="H113" s="44">
        <f>(E113+F113)/(8725103.2+9421212.6)*100</f>
        <v>0</v>
      </c>
      <c r="I113" s="43">
        <v>5000</v>
      </c>
      <c r="J113" s="43"/>
      <c r="K113" s="43"/>
      <c r="L113" s="43">
        <f t="shared" si="39"/>
        <v>5000</v>
      </c>
      <c r="M113" s="43">
        <v>0</v>
      </c>
      <c r="N113" s="43">
        <f t="shared" si="40"/>
        <v>-5000</v>
      </c>
      <c r="O113" s="43">
        <f t="shared" si="41"/>
        <v>0</v>
      </c>
      <c r="P113" s="43">
        <v>100000</v>
      </c>
      <c r="Q113" s="44">
        <f t="shared" si="42"/>
        <v>0.40800289352388058</v>
      </c>
      <c r="R113" s="43">
        <f>6201897*Q113/100</f>
        <v>25303.919213370747</v>
      </c>
      <c r="S113" s="43"/>
      <c r="T113" s="43"/>
      <c r="U113" s="43"/>
      <c r="V113" s="43"/>
      <c r="W113" s="43"/>
      <c r="X113" s="43">
        <f t="shared" si="34"/>
        <v>25303.919213370747</v>
      </c>
      <c r="Y113" s="43"/>
      <c r="Z113" s="43">
        <f>D113</f>
        <v>41666.666666666664</v>
      </c>
      <c r="AA113" s="43"/>
      <c r="AB113" s="43"/>
      <c r="AC113" s="43"/>
      <c r="AD113" s="43">
        <f t="shared" si="35"/>
        <v>41666.666666666664</v>
      </c>
      <c r="AE113" s="43">
        <v>105000</v>
      </c>
      <c r="AF113" s="43"/>
      <c r="AG113" s="43"/>
      <c r="AH113" s="42">
        <f t="shared" si="28"/>
        <v>105000</v>
      </c>
      <c r="AI113" s="41">
        <v>109833.3</v>
      </c>
      <c r="AJ113" s="40">
        <v>66000</v>
      </c>
      <c r="AK113" s="49">
        <v>100000</v>
      </c>
      <c r="AL113" s="39">
        <f t="shared" si="29"/>
        <v>100000</v>
      </c>
      <c r="AM113" s="49"/>
      <c r="AN113" s="49">
        <f t="shared" si="30"/>
        <v>100000</v>
      </c>
      <c r="AO113" s="114">
        <f>60500/3</f>
        <v>20166.666666666668</v>
      </c>
    </row>
    <row r="114" spans="1:41" s="18" customFormat="1" ht="13.2" x14ac:dyDescent="0.25">
      <c r="A114" s="46">
        <v>26631</v>
      </c>
      <c r="B114" s="45" t="s">
        <v>191</v>
      </c>
      <c r="C114" s="43">
        <v>450000</v>
      </c>
      <c r="D114" s="43">
        <f t="shared" si="36"/>
        <v>37500</v>
      </c>
      <c r="E114" s="43">
        <v>50000</v>
      </c>
      <c r="F114" s="43">
        <v>40000</v>
      </c>
      <c r="G114" s="43">
        <f t="shared" si="37"/>
        <v>104850</v>
      </c>
      <c r="H114" s="44">
        <f>(E114+F114)/(8725103.2+9421212.6)*100</f>
        <v>0.49596844335752172</v>
      </c>
      <c r="I114" s="43">
        <v>25200</v>
      </c>
      <c r="J114" s="43"/>
      <c r="K114" s="43"/>
      <c r="L114" s="43">
        <f t="shared" si="39"/>
        <v>25200</v>
      </c>
      <c r="M114" s="43">
        <v>25200</v>
      </c>
      <c r="N114" s="43">
        <f t="shared" si="40"/>
        <v>0</v>
      </c>
      <c r="O114" s="43">
        <f t="shared" si="41"/>
        <v>100</v>
      </c>
      <c r="P114" s="43">
        <v>78300</v>
      </c>
      <c r="Q114" s="44">
        <f t="shared" si="42"/>
        <v>0.3194662656291985</v>
      </c>
      <c r="R114" s="43">
        <f>6201897*Q114/100</f>
        <v>19812.968744069294</v>
      </c>
      <c r="S114" s="43"/>
      <c r="T114" s="43"/>
      <c r="U114" s="43"/>
      <c r="V114" s="43"/>
      <c r="W114" s="43"/>
      <c r="X114" s="43">
        <f t="shared" si="34"/>
        <v>19812.968744069294</v>
      </c>
      <c r="Y114" s="43"/>
      <c r="Z114" s="43">
        <f>D114</f>
        <v>37500</v>
      </c>
      <c r="AA114" s="43"/>
      <c r="AB114" s="43"/>
      <c r="AC114" s="43"/>
      <c r="AD114" s="43">
        <f t="shared" si="35"/>
        <v>37500</v>
      </c>
      <c r="AE114" s="43">
        <v>20987</v>
      </c>
      <c r="AF114" s="43"/>
      <c r="AG114" s="43"/>
      <c r="AH114" s="42">
        <f t="shared" si="28"/>
        <v>20987</v>
      </c>
      <c r="AI114" s="41">
        <v>20987</v>
      </c>
      <c r="AJ114" s="40">
        <v>50000</v>
      </c>
      <c r="AK114" s="49">
        <f>75000-35000</f>
        <v>40000</v>
      </c>
      <c r="AL114" s="39">
        <f t="shared" si="29"/>
        <v>40000</v>
      </c>
      <c r="AM114" s="49"/>
      <c r="AN114" s="49">
        <f t="shared" si="30"/>
        <v>40000</v>
      </c>
      <c r="AO114" s="49">
        <f>59850/3</f>
        <v>19950</v>
      </c>
    </row>
    <row r="115" spans="1:41" s="18" customFormat="1" ht="13.2" x14ac:dyDescent="0.25">
      <c r="A115" s="46">
        <v>26632</v>
      </c>
      <c r="B115" s="45" t="s">
        <v>190</v>
      </c>
      <c r="C115" s="43">
        <f>SUM(C116:C119)</f>
        <v>21869730</v>
      </c>
      <c r="D115" s="43">
        <f>SUM(D116:D119)</f>
        <v>1822477.5</v>
      </c>
      <c r="E115" s="43">
        <f>SUM(E116:E119)</f>
        <v>1058343.6000000001</v>
      </c>
      <c r="F115" s="43">
        <f>SUM(F116:F119)</f>
        <v>1259815.3999999999</v>
      </c>
      <c r="G115" s="43"/>
      <c r="H115" s="44"/>
      <c r="I115" s="43"/>
      <c r="J115" s="43"/>
      <c r="K115" s="43"/>
      <c r="L115" s="43">
        <f>SUM(L116:L119)</f>
        <v>2774708.9</v>
      </c>
      <c r="M115" s="43">
        <v>2754957.213</v>
      </c>
      <c r="N115" s="43">
        <f t="shared" si="40"/>
        <v>-19751.686999999918</v>
      </c>
      <c r="O115" s="43">
        <f t="shared" si="41"/>
        <v>99.288152822085223</v>
      </c>
      <c r="P115" s="43">
        <v>5213743.2</v>
      </c>
      <c r="Q115" s="44"/>
      <c r="R115" s="43">
        <v>2280020.1</v>
      </c>
      <c r="S115" s="43">
        <v>36500</v>
      </c>
      <c r="T115" s="43"/>
      <c r="U115" s="43"/>
      <c r="V115" s="43"/>
      <c r="W115" s="43"/>
      <c r="X115" s="43">
        <f t="shared" si="34"/>
        <v>2316520.1</v>
      </c>
      <c r="Y115" s="43"/>
      <c r="Z115" s="43">
        <f>254041.8+972065.5</f>
        <v>1226107.3</v>
      </c>
      <c r="AA115" s="43"/>
      <c r="AB115" s="43"/>
      <c r="AC115" s="43"/>
      <c r="AD115" s="43">
        <f t="shared" si="35"/>
        <v>1226107.3</v>
      </c>
      <c r="AE115" s="43">
        <f>596076.1+972022.7+0.1-240385.9</f>
        <v>1327713</v>
      </c>
      <c r="AF115" s="43"/>
      <c r="AG115" s="43"/>
      <c r="AH115" s="42">
        <f t="shared" si="28"/>
        <v>1327713</v>
      </c>
      <c r="AI115" s="41">
        <v>1287942.1000000001</v>
      </c>
      <c r="AJ115" s="40">
        <v>1746774</v>
      </c>
      <c r="AK115" s="49">
        <v>2646734.2000000002</v>
      </c>
      <c r="AL115" s="39">
        <f t="shared" si="29"/>
        <v>2646734.2000000002</v>
      </c>
      <c r="AM115" s="49"/>
      <c r="AN115" s="49">
        <f t="shared" si="30"/>
        <v>2646734.2000000002</v>
      </c>
      <c r="AO115" s="49">
        <v>2323593.4</v>
      </c>
    </row>
    <row r="116" spans="1:41" s="18" customFormat="1" ht="13.2" hidden="1" x14ac:dyDescent="0.25">
      <c r="A116" s="56">
        <v>26632</v>
      </c>
      <c r="B116" s="55" t="s">
        <v>189</v>
      </c>
      <c r="C116" s="52">
        <v>3699600</v>
      </c>
      <c r="D116" s="52">
        <f t="shared" ref="D116:D125" si="45">C116/12</f>
        <v>308300</v>
      </c>
      <c r="E116" s="52">
        <v>136542.29999999999</v>
      </c>
      <c r="F116" s="52">
        <v>217953.4</v>
      </c>
      <c r="G116" s="52">
        <f t="shared" ref="G116:G125" si="46">C116*23.3/100</f>
        <v>862006.8</v>
      </c>
      <c r="H116" s="54">
        <f t="shared" ref="H116:H123" si="47">(E116+F116)/(8725103.2+9421212.6)*100</f>
        <v>1.9535408945103887</v>
      </c>
      <c r="I116" s="52">
        <v>696834.4</v>
      </c>
      <c r="J116" s="52"/>
      <c r="K116" s="52"/>
      <c r="L116" s="52">
        <f t="shared" ref="L116:L131" si="48">SUM(I116:K116)</f>
        <v>696834.4</v>
      </c>
      <c r="M116" s="52"/>
      <c r="N116" s="52"/>
      <c r="O116" s="52">
        <f t="shared" si="41"/>
        <v>0</v>
      </c>
      <c r="P116" s="52"/>
      <c r="Q116" s="44">
        <f>P116/33760945.6*100</f>
        <v>0</v>
      </c>
      <c r="R116" s="43">
        <f t="shared" ref="R116:R123" si="49">6201897*Q116/100</f>
        <v>0</v>
      </c>
      <c r="S116" s="47"/>
      <c r="T116" s="43"/>
      <c r="U116" s="43"/>
      <c r="V116" s="43"/>
      <c r="W116" s="43"/>
      <c r="X116" s="43">
        <f t="shared" si="34"/>
        <v>0</v>
      </c>
      <c r="Y116" s="43"/>
      <c r="Z116" s="47"/>
      <c r="AA116" s="47"/>
      <c r="AB116" s="47"/>
      <c r="AC116" s="51"/>
      <c r="AD116" s="43">
        <f t="shared" si="35"/>
        <v>0</v>
      </c>
      <c r="AE116" s="43"/>
      <c r="AF116" s="43"/>
      <c r="AG116" s="43"/>
      <c r="AH116" s="42">
        <f t="shared" si="28"/>
        <v>0</v>
      </c>
      <c r="AI116" s="41"/>
      <c r="AJ116" s="40">
        <v>0</v>
      </c>
      <c r="AK116" s="49"/>
      <c r="AL116" s="39">
        <f t="shared" si="29"/>
        <v>0</v>
      </c>
      <c r="AM116" s="49"/>
      <c r="AN116" s="49">
        <f t="shared" si="30"/>
        <v>0</v>
      </c>
      <c r="AO116" s="49"/>
    </row>
    <row r="117" spans="1:41" s="18" customFormat="1" ht="13.2" hidden="1" x14ac:dyDescent="0.25">
      <c r="A117" s="56">
        <v>26632</v>
      </c>
      <c r="B117" s="55" t="s">
        <v>188</v>
      </c>
      <c r="C117" s="52">
        <v>6109400</v>
      </c>
      <c r="D117" s="52">
        <f t="shared" si="45"/>
        <v>509116.66666666669</v>
      </c>
      <c r="E117" s="52">
        <v>197022.7</v>
      </c>
      <c r="F117" s="52">
        <v>333375.5</v>
      </c>
      <c r="G117" s="52">
        <f t="shared" si="46"/>
        <v>1423490.2</v>
      </c>
      <c r="H117" s="54">
        <f t="shared" si="47"/>
        <v>2.9228974401514609</v>
      </c>
      <c r="I117" s="52">
        <v>1148159.5</v>
      </c>
      <c r="J117" s="52"/>
      <c r="K117" s="52"/>
      <c r="L117" s="52">
        <f t="shared" si="48"/>
        <v>1148159.5</v>
      </c>
      <c r="M117" s="52"/>
      <c r="N117" s="52"/>
      <c r="O117" s="52">
        <f t="shared" si="41"/>
        <v>0</v>
      </c>
      <c r="P117" s="52"/>
      <c r="Q117" s="44">
        <f>P117/33760945.6*100</f>
        <v>0</v>
      </c>
      <c r="R117" s="43">
        <f t="shared" si="49"/>
        <v>0</v>
      </c>
      <c r="S117" s="47"/>
      <c r="T117" s="43"/>
      <c r="U117" s="43"/>
      <c r="V117" s="43"/>
      <c r="W117" s="43"/>
      <c r="X117" s="43">
        <f t="shared" si="34"/>
        <v>0</v>
      </c>
      <c r="Y117" s="43"/>
      <c r="Z117" s="47"/>
      <c r="AA117" s="47"/>
      <c r="AB117" s="47"/>
      <c r="AC117" s="51"/>
      <c r="AD117" s="43">
        <f t="shared" si="35"/>
        <v>0</v>
      </c>
      <c r="AE117" s="43"/>
      <c r="AF117" s="43"/>
      <c r="AG117" s="43"/>
      <c r="AH117" s="42">
        <f t="shared" si="28"/>
        <v>0</v>
      </c>
      <c r="AI117" s="41"/>
      <c r="AJ117" s="40">
        <v>0</v>
      </c>
      <c r="AK117" s="49"/>
      <c r="AL117" s="39">
        <f t="shared" si="29"/>
        <v>0</v>
      </c>
      <c r="AM117" s="49"/>
      <c r="AN117" s="49">
        <f t="shared" si="30"/>
        <v>0</v>
      </c>
      <c r="AO117" s="49"/>
    </row>
    <row r="118" spans="1:41" s="18" customFormat="1" ht="13.2" hidden="1" x14ac:dyDescent="0.25">
      <c r="A118" s="56">
        <v>26632</v>
      </c>
      <c r="B118" s="55" t="s">
        <v>187</v>
      </c>
      <c r="C118" s="52">
        <v>1899030</v>
      </c>
      <c r="D118" s="52">
        <f t="shared" si="45"/>
        <v>158252.5</v>
      </c>
      <c r="E118" s="52">
        <v>134792.79999999999</v>
      </c>
      <c r="F118" s="52">
        <v>186911.3</v>
      </c>
      <c r="G118" s="52">
        <f t="shared" si="46"/>
        <v>442473.99</v>
      </c>
      <c r="H118" s="54">
        <f t="shared" si="47"/>
        <v>1.7728342410970277</v>
      </c>
      <c r="I118" s="52">
        <v>139572.5</v>
      </c>
      <c r="J118" s="52"/>
      <c r="K118" s="52"/>
      <c r="L118" s="52">
        <f t="shared" si="48"/>
        <v>139572.5</v>
      </c>
      <c r="M118" s="52"/>
      <c r="N118" s="52"/>
      <c r="O118" s="52">
        <f t="shared" si="41"/>
        <v>0</v>
      </c>
      <c r="P118" s="52"/>
      <c r="Q118" s="44">
        <f>P118/33760945.6*100</f>
        <v>0</v>
      </c>
      <c r="R118" s="43">
        <f t="shared" si="49"/>
        <v>0</v>
      </c>
      <c r="S118" s="47"/>
      <c r="T118" s="43"/>
      <c r="U118" s="43"/>
      <c r="V118" s="43"/>
      <c r="W118" s="43"/>
      <c r="X118" s="43">
        <f t="shared" si="34"/>
        <v>0</v>
      </c>
      <c r="Y118" s="43"/>
      <c r="Z118" s="47"/>
      <c r="AA118" s="47"/>
      <c r="AB118" s="47"/>
      <c r="AC118" s="51"/>
      <c r="AD118" s="43">
        <f t="shared" si="35"/>
        <v>0</v>
      </c>
      <c r="AE118" s="43"/>
      <c r="AF118" s="43"/>
      <c r="AG118" s="43"/>
      <c r="AH118" s="42">
        <f t="shared" si="28"/>
        <v>0</v>
      </c>
      <c r="AI118" s="41"/>
      <c r="AJ118" s="40">
        <v>0</v>
      </c>
      <c r="AK118" s="49"/>
      <c r="AL118" s="39">
        <f t="shared" si="29"/>
        <v>0</v>
      </c>
      <c r="AM118" s="49"/>
      <c r="AN118" s="49">
        <f t="shared" si="30"/>
        <v>0</v>
      </c>
      <c r="AO118" s="49"/>
    </row>
    <row r="119" spans="1:41" s="18" customFormat="1" ht="13.2" hidden="1" x14ac:dyDescent="0.25">
      <c r="A119" s="56">
        <v>26632</v>
      </c>
      <c r="B119" s="55" t="s">
        <v>186</v>
      </c>
      <c r="C119" s="52">
        <v>10161700</v>
      </c>
      <c r="D119" s="52">
        <f t="shared" si="45"/>
        <v>846808.33333333337</v>
      </c>
      <c r="E119" s="52">
        <v>589985.80000000005</v>
      </c>
      <c r="F119" s="52">
        <v>521575.2</v>
      </c>
      <c r="G119" s="52">
        <f t="shared" si="46"/>
        <v>2367676.1</v>
      </c>
      <c r="H119" s="54">
        <f t="shared" si="47"/>
        <v>6.1255464318547803</v>
      </c>
      <c r="I119" s="52">
        <v>790142.5</v>
      </c>
      <c r="J119" s="52"/>
      <c r="K119" s="52"/>
      <c r="L119" s="52">
        <f t="shared" si="48"/>
        <v>790142.5</v>
      </c>
      <c r="M119" s="53"/>
      <c r="N119" s="52"/>
      <c r="O119" s="52">
        <f t="shared" si="41"/>
        <v>0</v>
      </c>
      <c r="P119" s="52"/>
      <c r="Q119" s="44">
        <f>P119/33760945.6*100</f>
        <v>0</v>
      </c>
      <c r="R119" s="43">
        <f t="shared" si="49"/>
        <v>0</v>
      </c>
      <c r="S119" s="47"/>
      <c r="T119" s="43"/>
      <c r="U119" s="43"/>
      <c r="V119" s="43"/>
      <c r="W119" s="43"/>
      <c r="X119" s="43">
        <f t="shared" si="34"/>
        <v>0</v>
      </c>
      <c r="Y119" s="43"/>
      <c r="Z119" s="47"/>
      <c r="AA119" s="47"/>
      <c r="AB119" s="47"/>
      <c r="AC119" s="51"/>
      <c r="AD119" s="43">
        <f t="shared" si="35"/>
        <v>0</v>
      </c>
      <c r="AE119" s="43"/>
      <c r="AF119" s="43"/>
      <c r="AG119" s="43"/>
      <c r="AH119" s="42">
        <f t="shared" si="28"/>
        <v>0</v>
      </c>
      <c r="AI119" s="41"/>
      <c r="AJ119" s="40">
        <v>0</v>
      </c>
      <c r="AK119" s="49"/>
      <c r="AL119" s="39">
        <f t="shared" si="29"/>
        <v>0</v>
      </c>
      <c r="AM119" s="49"/>
      <c r="AN119" s="49">
        <f t="shared" si="30"/>
        <v>0</v>
      </c>
      <c r="AO119" s="49"/>
    </row>
    <row r="120" spans="1:41" s="18" customFormat="1" ht="13.2" x14ac:dyDescent="0.25">
      <c r="A120" s="46">
        <v>26633</v>
      </c>
      <c r="B120" s="45" t="s">
        <v>185</v>
      </c>
      <c r="C120" s="43">
        <v>850000</v>
      </c>
      <c r="D120" s="43">
        <f t="shared" si="45"/>
        <v>70833.333333333328</v>
      </c>
      <c r="E120" s="43">
        <v>61605.599999999999</v>
      </c>
      <c r="F120" s="43">
        <v>49990.8</v>
      </c>
      <c r="G120" s="43">
        <f t="shared" si="46"/>
        <v>198050</v>
      </c>
      <c r="H120" s="44">
        <f t="shared" si="47"/>
        <v>0.61498103102559265</v>
      </c>
      <c r="I120" s="43">
        <v>88403.6</v>
      </c>
      <c r="J120" s="43"/>
      <c r="K120" s="43"/>
      <c r="L120" s="43">
        <f t="shared" si="48"/>
        <v>88403.6</v>
      </c>
      <c r="M120" s="43">
        <v>88403.6</v>
      </c>
      <c r="N120" s="43">
        <f t="shared" ref="N120:N131" si="50">M120-L120</f>
        <v>0</v>
      </c>
      <c r="O120" s="43">
        <f t="shared" si="41"/>
        <v>100</v>
      </c>
      <c r="P120" s="43">
        <v>250000</v>
      </c>
      <c r="Q120" s="44">
        <f t="shared" ref="Q120:Q131" si="51">P120/24509630.1*100</f>
        <v>1.0200072338097015</v>
      </c>
      <c r="R120" s="43">
        <f t="shared" si="49"/>
        <v>63259.798033426858</v>
      </c>
      <c r="S120" s="43"/>
      <c r="T120" s="43"/>
      <c r="U120" s="43"/>
      <c r="V120" s="43">
        <v>7315</v>
      </c>
      <c r="W120" s="43"/>
      <c r="X120" s="43">
        <f t="shared" si="34"/>
        <v>70574.798033426865</v>
      </c>
      <c r="Y120" s="43"/>
      <c r="Z120" s="43">
        <f>D120</f>
        <v>70833.333333333328</v>
      </c>
      <c r="AA120" s="43"/>
      <c r="AB120" s="43"/>
      <c r="AC120" s="43"/>
      <c r="AD120" s="43">
        <f t="shared" si="35"/>
        <v>70833.333333333328</v>
      </c>
      <c r="AE120" s="43">
        <v>32200</v>
      </c>
      <c r="AF120" s="43"/>
      <c r="AG120" s="43"/>
      <c r="AH120" s="42">
        <f t="shared" si="28"/>
        <v>32200</v>
      </c>
      <c r="AI120" s="41">
        <f>32200+68000</f>
        <v>100200</v>
      </c>
      <c r="AJ120" s="40">
        <v>80000</v>
      </c>
      <c r="AK120" s="49">
        <v>50000</v>
      </c>
      <c r="AL120" s="39">
        <f t="shared" si="29"/>
        <v>50000</v>
      </c>
      <c r="AM120" s="49">
        <v>124000</v>
      </c>
      <c r="AN120" s="49">
        <f t="shared" si="30"/>
        <v>174000</v>
      </c>
      <c r="AO120" s="49">
        <f>150000/3</f>
        <v>50000</v>
      </c>
    </row>
    <row r="121" spans="1:41" s="18" customFormat="1" ht="13.2" x14ac:dyDescent="0.25">
      <c r="A121" s="46">
        <v>26634</v>
      </c>
      <c r="B121" s="45" t="s">
        <v>184</v>
      </c>
      <c r="C121" s="43">
        <v>190300.79999999999</v>
      </c>
      <c r="D121" s="43">
        <f t="shared" si="45"/>
        <v>15858.4</v>
      </c>
      <c r="E121" s="43">
        <v>88797.3</v>
      </c>
      <c r="F121" s="43">
        <v>4566.6000000000004</v>
      </c>
      <c r="G121" s="43">
        <f t="shared" si="46"/>
        <v>44340.0864</v>
      </c>
      <c r="H121" s="44">
        <f t="shared" si="47"/>
        <v>0.51450609054208141</v>
      </c>
      <c r="I121" s="43">
        <v>20816.5</v>
      </c>
      <c r="J121" s="43"/>
      <c r="K121" s="43"/>
      <c r="L121" s="43">
        <f t="shared" si="48"/>
        <v>20816.5</v>
      </c>
      <c r="M121" s="43">
        <v>11000</v>
      </c>
      <c r="N121" s="43">
        <f t="shared" si="50"/>
        <v>-9816.5</v>
      </c>
      <c r="O121" s="43">
        <f t="shared" si="41"/>
        <v>52.842696899094463</v>
      </c>
      <c r="P121" s="43">
        <v>38060.200000000012</v>
      </c>
      <c r="Q121" s="44">
        <f t="shared" si="51"/>
        <v>0.15528671728097604</v>
      </c>
      <c r="R121" s="43">
        <f t="shared" si="49"/>
        <v>9630.7222604473336</v>
      </c>
      <c r="S121" s="43">
        <f>225.42675*70-R121+1000-1000</f>
        <v>6149.1502395526659</v>
      </c>
      <c r="T121" s="43"/>
      <c r="U121" s="43"/>
      <c r="V121" s="43"/>
      <c r="W121" s="43"/>
      <c r="X121" s="43">
        <f t="shared" si="34"/>
        <v>15779.872499999999</v>
      </c>
      <c r="Y121" s="43"/>
      <c r="Z121" s="43">
        <f>D121</f>
        <v>15858.4</v>
      </c>
      <c r="AA121" s="43"/>
      <c r="AB121" s="43"/>
      <c r="AC121" s="43"/>
      <c r="AD121" s="43">
        <f t="shared" si="35"/>
        <v>15858.4</v>
      </c>
      <c r="AE121" s="43">
        <v>26145.8</v>
      </c>
      <c r="AF121" s="43"/>
      <c r="AG121" s="43"/>
      <c r="AH121" s="42">
        <f t="shared" si="28"/>
        <v>26145.8</v>
      </c>
      <c r="AI121" s="41">
        <v>7100</v>
      </c>
      <c r="AJ121" s="40">
        <v>16900</v>
      </c>
      <c r="AK121" s="49">
        <v>10850.2</v>
      </c>
      <c r="AL121" s="39">
        <f t="shared" si="29"/>
        <v>10850.2</v>
      </c>
      <c r="AM121" s="49"/>
      <c r="AN121" s="49">
        <f t="shared" si="30"/>
        <v>10850.2</v>
      </c>
      <c r="AO121" s="49">
        <f>89030.2/3</f>
        <v>29676.733333333334</v>
      </c>
    </row>
    <row r="122" spans="1:41" s="18" customFormat="1" ht="13.2" x14ac:dyDescent="0.25">
      <c r="A122" s="46">
        <v>26638</v>
      </c>
      <c r="B122" s="45" t="s">
        <v>183</v>
      </c>
      <c r="C122" s="43">
        <v>300000</v>
      </c>
      <c r="D122" s="43">
        <f t="shared" si="45"/>
        <v>25000</v>
      </c>
      <c r="E122" s="43">
        <v>305000</v>
      </c>
      <c r="F122" s="43"/>
      <c r="G122" s="43">
        <f t="shared" si="46"/>
        <v>69900</v>
      </c>
      <c r="H122" s="44">
        <f t="shared" si="47"/>
        <v>1.6807819469338237</v>
      </c>
      <c r="I122" s="43"/>
      <c r="J122" s="43"/>
      <c r="K122" s="43"/>
      <c r="L122" s="43">
        <f t="shared" si="48"/>
        <v>0</v>
      </c>
      <c r="M122" s="43"/>
      <c r="N122" s="43">
        <f t="shared" si="50"/>
        <v>0</v>
      </c>
      <c r="O122" s="43"/>
      <c r="P122" s="47"/>
      <c r="Q122" s="44">
        <f t="shared" si="51"/>
        <v>0</v>
      </c>
      <c r="R122" s="43">
        <f t="shared" si="49"/>
        <v>0</v>
      </c>
      <c r="S122" s="43"/>
      <c r="T122" s="43"/>
      <c r="U122" s="43"/>
      <c r="V122" s="43"/>
      <c r="W122" s="43"/>
      <c r="X122" s="43">
        <f t="shared" si="34"/>
        <v>0</v>
      </c>
      <c r="Y122" s="43"/>
      <c r="Z122" s="43">
        <f>Y122</f>
        <v>0</v>
      </c>
      <c r="AA122" s="43"/>
      <c r="AB122" s="43"/>
      <c r="AC122" s="43"/>
      <c r="AD122" s="43">
        <f t="shared" si="35"/>
        <v>0</v>
      </c>
      <c r="AE122" s="43"/>
      <c r="AF122" s="43"/>
      <c r="AG122" s="43"/>
      <c r="AH122" s="42">
        <f t="shared" si="28"/>
        <v>0</v>
      </c>
      <c r="AI122" s="41"/>
      <c r="AJ122" s="40">
        <v>0</v>
      </c>
      <c r="AK122" s="49"/>
      <c r="AL122" s="39">
        <f t="shared" si="29"/>
        <v>0</v>
      </c>
      <c r="AM122" s="49">
        <v>72000</v>
      </c>
      <c r="AN122" s="49">
        <f t="shared" si="30"/>
        <v>72000</v>
      </c>
      <c r="AO122" s="49"/>
    </row>
    <row r="123" spans="1:41" s="18" customFormat="1" ht="20.399999999999999" x14ac:dyDescent="0.25">
      <c r="A123" s="46">
        <v>26635</v>
      </c>
      <c r="B123" s="45" t="s">
        <v>182</v>
      </c>
      <c r="C123" s="43">
        <v>92861.4</v>
      </c>
      <c r="D123" s="43">
        <f t="shared" si="45"/>
        <v>7738.45</v>
      </c>
      <c r="E123" s="43">
        <v>4444</v>
      </c>
      <c r="F123" s="43">
        <v>3811.5</v>
      </c>
      <c r="G123" s="43">
        <f t="shared" si="46"/>
        <v>21636.706200000001</v>
      </c>
      <c r="H123" s="44">
        <f t="shared" si="47"/>
        <v>4.5494083157089117E-2</v>
      </c>
      <c r="I123" s="43">
        <v>10316.700000000001</v>
      </c>
      <c r="J123" s="43"/>
      <c r="K123" s="43"/>
      <c r="L123" s="43">
        <f t="shared" si="48"/>
        <v>10316.700000000001</v>
      </c>
      <c r="M123" s="43">
        <v>8322.43</v>
      </c>
      <c r="N123" s="43">
        <f t="shared" si="50"/>
        <v>-1994.2700000000004</v>
      </c>
      <c r="O123" s="43">
        <f>M123/L123*100</f>
        <v>80.66949702908876</v>
      </c>
      <c r="P123" s="43">
        <v>22936.799999999999</v>
      </c>
      <c r="Q123" s="44">
        <f t="shared" si="51"/>
        <v>9.3582807681785452E-2</v>
      </c>
      <c r="R123" s="43">
        <f t="shared" si="49"/>
        <v>5803.9093421324214</v>
      </c>
      <c r="S123" s="43"/>
      <c r="T123" s="43"/>
      <c r="U123" s="43"/>
      <c r="V123" s="43"/>
      <c r="W123" s="43"/>
      <c r="X123" s="43">
        <f t="shared" si="34"/>
        <v>5803.9093421324214</v>
      </c>
      <c r="Y123" s="43"/>
      <c r="Z123" s="43">
        <f>D123</f>
        <v>7738.45</v>
      </c>
      <c r="AA123" s="43"/>
      <c r="AB123" s="43"/>
      <c r="AC123" s="43"/>
      <c r="AD123" s="43">
        <f t="shared" si="35"/>
        <v>7738.45</v>
      </c>
      <c r="AE123" s="43">
        <v>600</v>
      </c>
      <c r="AF123" s="43"/>
      <c r="AG123" s="43"/>
      <c r="AH123" s="42">
        <f t="shared" si="28"/>
        <v>600</v>
      </c>
      <c r="AI123" s="41">
        <f>1000+7000</f>
        <v>8000</v>
      </c>
      <c r="AJ123" s="40">
        <v>7000</v>
      </c>
      <c r="AK123" s="49">
        <f>7000-6000</f>
        <v>1000</v>
      </c>
      <c r="AL123" s="39">
        <f t="shared" si="29"/>
        <v>1000</v>
      </c>
      <c r="AM123" s="49"/>
      <c r="AN123" s="49">
        <f t="shared" si="30"/>
        <v>1000</v>
      </c>
      <c r="AO123" s="49">
        <f>25351.2/3</f>
        <v>8450.4</v>
      </c>
    </row>
    <row r="124" spans="1:41" s="18" customFormat="1" ht="13.2" x14ac:dyDescent="0.25">
      <c r="A124" s="46">
        <v>26638</v>
      </c>
      <c r="B124" s="45" t="s">
        <v>181</v>
      </c>
      <c r="C124" s="43">
        <v>100000</v>
      </c>
      <c r="D124" s="43">
        <f t="shared" si="45"/>
        <v>8333.3333333333339</v>
      </c>
      <c r="E124" s="43"/>
      <c r="F124" s="43"/>
      <c r="G124" s="43">
        <f t="shared" si="46"/>
        <v>23300</v>
      </c>
      <c r="H124" s="44">
        <v>0.12514600000000001</v>
      </c>
      <c r="I124" s="43"/>
      <c r="J124" s="43"/>
      <c r="K124" s="43"/>
      <c r="L124" s="43">
        <f t="shared" si="48"/>
        <v>0</v>
      </c>
      <c r="M124" s="47"/>
      <c r="N124" s="43">
        <f t="shared" si="50"/>
        <v>0</v>
      </c>
      <c r="O124" s="43"/>
      <c r="P124" s="43">
        <v>20000</v>
      </c>
      <c r="Q124" s="44">
        <f t="shared" si="51"/>
        <v>8.1600578704776119E-2</v>
      </c>
      <c r="R124" s="43">
        <f>6201897*Q124/100-5060.8</f>
        <v>-1.6157325851054338E-2</v>
      </c>
      <c r="S124" s="43"/>
      <c r="T124" s="43"/>
      <c r="U124" s="43"/>
      <c r="V124" s="43"/>
      <c r="W124" s="43"/>
      <c r="X124" s="43">
        <f t="shared" si="34"/>
        <v>-1.6157325851054338E-2</v>
      </c>
      <c r="Y124" s="43"/>
      <c r="Z124" s="43">
        <f>Y124</f>
        <v>0</v>
      </c>
      <c r="AA124" s="43"/>
      <c r="AB124" s="43"/>
      <c r="AC124" s="43"/>
      <c r="AD124" s="43">
        <f t="shared" si="35"/>
        <v>0</v>
      </c>
      <c r="AE124" s="43"/>
      <c r="AF124" s="43"/>
      <c r="AG124" s="43"/>
      <c r="AH124" s="42">
        <f t="shared" si="28"/>
        <v>0</v>
      </c>
      <c r="AI124" s="41"/>
      <c r="AJ124" s="40">
        <v>0</v>
      </c>
      <c r="AK124" s="49"/>
      <c r="AL124" s="39">
        <f t="shared" si="29"/>
        <v>0</v>
      </c>
      <c r="AM124" s="49"/>
      <c r="AN124" s="49">
        <f t="shared" si="30"/>
        <v>0</v>
      </c>
      <c r="AO124" s="49"/>
    </row>
    <row r="125" spans="1:41" s="18" customFormat="1" ht="20.399999999999999" x14ac:dyDescent="0.25">
      <c r="A125" s="46">
        <v>26636</v>
      </c>
      <c r="B125" s="45" t="s">
        <v>180</v>
      </c>
      <c r="C125" s="43">
        <v>400000</v>
      </c>
      <c r="D125" s="43">
        <f t="shared" si="45"/>
        <v>33333.333333333336</v>
      </c>
      <c r="E125" s="43"/>
      <c r="F125" s="43">
        <v>50856</v>
      </c>
      <c r="G125" s="43">
        <f t="shared" si="46"/>
        <v>93200</v>
      </c>
      <c r="H125" s="44">
        <f>(E125+F125)/(8725103.2+9421212.6)*100</f>
        <v>0.28025523505989025</v>
      </c>
      <c r="I125" s="43">
        <v>55944</v>
      </c>
      <c r="J125" s="43"/>
      <c r="K125" s="43">
        <v>22128.5</v>
      </c>
      <c r="L125" s="43">
        <f t="shared" si="48"/>
        <v>78072.5</v>
      </c>
      <c r="M125" s="43">
        <v>78072.5</v>
      </c>
      <c r="N125" s="43">
        <f t="shared" si="50"/>
        <v>0</v>
      </c>
      <c r="O125" s="43">
        <f>M125/L125*100</f>
        <v>100</v>
      </c>
      <c r="P125" s="43">
        <v>237814.2</v>
      </c>
      <c r="Q125" s="44">
        <f t="shared" si="51"/>
        <v>0.97028881721066851</v>
      </c>
      <c r="R125" s="43">
        <f>6201897*Q125/100</f>
        <v>60176.313045923933</v>
      </c>
      <c r="S125" s="43">
        <v>103300</v>
      </c>
      <c r="T125" s="43"/>
      <c r="U125" s="43"/>
      <c r="V125" s="43"/>
      <c r="W125" s="43"/>
      <c r="X125" s="43">
        <f t="shared" si="34"/>
        <v>163476.31304592395</v>
      </c>
      <c r="Y125" s="43"/>
      <c r="Z125" s="43">
        <f>D125</f>
        <v>33333.333333333336</v>
      </c>
      <c r="AA125" s="43">
        <v>9753.2000000000007</v>
      </c>
      <c r="AB125" s="43"/>
      <c r="AC125" s="43"/>
      <c r="AD125" s="43">
        <f t="shared" si="35"/>
        <v>43086.53333333334</v>
      </c>
      <c r="AE125" s="43">
        <v>31317</v>
      </c>
      <c r="AF125" s="43"/>
      <c r="AG125" s="43"/>
      <c r="AH125" s="42">
        <f t="shared" si="28"/>
        <v>31317</v>
      </c>
      <c r="AI125" s="41">
        <f>10251</f>
        <v>10251</v>
      </c>
      <c r="AJ125" s="40">
        <v>80196</v>
      </c>
      <c r="AK125" s="49">
        <v>9026.2999999999993</v>
      </c>
      <c r="AL125" s="39">
        <f t="shared" si="29"/>
        <v>9026.2999999999993</v>
      </c>
      <c r="AM125" s="49"/>
      <c r="AN125" s="49">
        <f t="shared" si="30"/>
        <v>9026.2999999999993</v>
      </c>
      <c r="AO125" s="114">
        <v>62866.7</v>
      </c>
    </row>
    <row r="126" spans="1:41" s="18" customFormat="1" ht="13.2" x14ac:dyDescent="0.25">
      <c r="A126" s="46">
        <v>26638</v>
      </c>
      <c r="B126" s="45" t="s">
        <v>179</v>
      </c>
      <c r="C126" s="43"/>
      <c r="D126" s="43"/>
      <c r="E126" s="43"/>
      <c r="F126" s="43">
        <v>260000</v>
      </c>
      <c r="G126" s="43"/>
      <c r="H126" s="44">
        <f>(E126+F126)/(8725103.2+9421212.6)*100</f>
        <v>1.4327977252550628</v>
      </c>
      <c r="I126" s="43"/>
      <c r="J126" s="43">
        <v>500000</v>
      </c>
      <c r="K126" s="43"/>
      <c r="L126" s="43">
        <f t="shared" si="48"/>
        <v>500000</v>
      </c>
      <c r="M126" s="43">
        <v>500000</v>
      </c>
      <c r="N126" s="43">
        <f t="shared" si="50"/>
        <v>0</v>
      </c>
      <c r="O126" s="43">
        <f>M126/L126*100</f>
        <v>100</v>
      </c>
      <c r="P126" s="43"/>
      <c r="Q126" s="44">
        <f t="shared" si="51"/>
        <v>0</v>
      </c>
      <c r="R126" s="43">
        <f>6201897*Q126/100</f>
        <v>0</v>
      </c>
      <c r="S126" s="43"/>
      <c r="T126" s="43"/>
      <c r="U126" s="43"/>
      <c r="V126" s="43">
        <v>85000</v>
      </c>
      <c r="W126" s="43"/>
      <c r="X126" s="43">
        <f t="shared" si="34"/>
        <v>85000</v>
      </c>
      <c r="Y126" s="43"/>
      <c r="Z126" s="43">
        <f>Y126</f>
        <v>0</v>
      </c>
      <c r="AA126" s="43"/>
      <c r="AB126" s="43"/>
      <c r="AC126" s="43">
        <v>8000</v>
      </c>
      <c r="AD126" s="43">
        <f t="shared" si="35"/>
        <v>8000</v>
      </c>
      <c r="AE126" s="43"/>
      <c r="AF126" s="43"/>
      <c r="AG126" s="43"/>
      <c r="AH126" s="42">
        <f t="shared" si="28"/>
        <v>0</v>
      </c>
      <c r="AI126" s="41">
        <f>7022</f>
        <v>7022</v>
      </c>
      <c r="AJ126" s="40">
        <v>200000</v>
      </c>
      <c r="AK126" s="49"/>
      <c r="AL126" s="39">
        <f t="shared" si="29"/>
        <v>0</v>
      </c>
      <c r="AM126" s="49">
        <v>300000</v>
      </c>
      <c r="AN126" s="49">
        <f t="shared" si="30"/>
        <v>300000</v>
      </c>
      <c r="AO126" s="49"/>
    </row>
    <row r="127" spans="1:41" s="18" customFormat="1" ht="13.2" x14ac:dyDescent="0.25">
      <c r="A127" s="46">
        <v>26637</v>
      </c>
      <c r="B127" s="45" t="s">
        <v>178</v>
      </c>
      <c r="C127" s="43"/>
      <c r="D127" s="43"/>
      <c r="E127" s="43"/>
      <c r="F127" s="43"/>
      <c r="G127" s="43"/>
      <c r="H127" s="44"/>
      <c r="I127" s="43"/>
      <c r="J127" s="43">
        <v>478279.4</v>
      </c>
      <c r="K127" s="43"/>
      <c r="L127" s="43">
        <f t="shared" si="48"/>
        <v>478279.4</v>
      </c>
      <c r="M127" s="43">
        <v>478279.4</v>
      </c>
      <c r="N127" s="43">
        <f t="shared" si="50"/>
        <v>0</v>
      </c>
      <c r="O127" s="43">
        <f>M127/L127*100</f>
        <v>100</v>
      </c>
      <c r="P127" s="43"/>
      <c r="Q127" s="44">
        <f t="shared" si="51"/>
        <v>0</v>
      </c>
      <c r="R127" s="43">
        <f>6201897*Q127/100</f>
        <v>0</v>
      </c>
      <c r="S127" s="43"/>
      <c r="T127" s="43"/>
      <c r="U127" s="43"/>
      <c r="V127" s="43"/>
      <c r="W127" s="43"/>
      <c r="X127" s="43">
        <f t="shared" si="34"/>
        <v>0</v>
      </c>
      <c r="Y127" s="43"/>
      <c r="Z127" s="43">
        <f>Y127</f>
        <v>0</v>
      </c>
      <c r="AA127" s="43"/>
      <c r="AB127" s="43"/>
      <c r="AC127" s="43"/>
      <c r="AD127" s="43">
        <f t="shared" si="35"/>
        <v>0</v>
      </c>
      <c r="AE127" s="43"/>
      <c r="AF127" s="43"/>
      <c r="AG127" s="43"/>
      <c r="AH127" s="42">
        <f t="shared" si="28"/>
        <v>0</v>
      </c>
      <c r="AI127" s="41"/>
      <c r="AJ127" s="40">
        <v>0</v>
      </c>
      <c r="AK127" s="49"/>
      <c r="AL127" s="39">
        <f t="shared" si="29"/>
        <v>0</v>
      </c>
      <c r="AM127" s="49"/>
      <c r="AN127" s="49">
        <f t="shared" si="30"/>
        <v>0</v>
      </c>
      <c r="AO127" s="49"/>
    </row>
    <row r="128" spans="1:41" s="18" customFormat="1" ht="13.2" x14ac:dyDescent="0.25">
      <c r="A128" s="46">
        <v>26639</v>
      </c>
      <c r="B128" s="45" t="s">
        <v>177</v>
      </c>
      <c r="C128" s="43"/>
      <c r="D128" s="43"/>
      <c r="E128" s="43"/>
      <c r="F128" s="43"/>
      <c r="G128" s="43"/>
      <c r="H128" s="44"/>
      <c r="I128" s="43"/>
      <c r="J128" s="43"/>
      <c r="K128" s="43"/>
      <c r="L128" s="43">
        <f t="shared" si="48"/>
        <v>0</v>
      </c>
      <c r="M128" s="43">
        <v>0</v>
      </c>
      <c r="N128" s="43">
        <f t="shared" si="50"/>
        <v>0</v>
      </c>
      <c r="O128" s="43"/>
      <c r="P128" s="47"/>
      <c r="Q128" s="44">
        <f t="shared" si="51"/>
        <v>0</v>
      </c>
      <c r="R128" s="43">
        <f>6201897*Q128/100</f>
        <v>0</v>
      </c>
      <c r="S128" s="43"/>
      <c r="T128" s="43"/>
      <c r="U128" s="43"/>
      <c r="V128" s="43"/>
      <c r="W128" s="43"/>
      <c r="X128" s="43">
        <f t="shared" si="34"/>
        <v>0</v>
      </c>
      <c r="Y128" s="43"/>
      <c r="Z128" s="43">
        <f>Y128</f>
        <v>0</v>
      </c>
      <c r="AA128" s="43"/>
      <c r="AB128" s="43"/>
      <c r="AC128" s="43"/>
      <c r="AD128" s="43">
        <f t="shared" si="35"/>
        <v>0</v>
      </c>
      <c r="AE128" s="43">
        <v>35539</v>
      </c>
      <c r="AF128" s="43"/>
      <c r="AG128" s="43"/>
      <c r="AH128" s="42">
        <f t="shared" si="28"/>
        <v>35539</v>
      </c>
      <c r="AI128" s="41"/>
      <c r="AJ128" s="40">
        <v>0</v>
      </c>
      <c r="AK128" s="49"/>
      <c r="AL128" s="39">
        <f t="shared" si="29"/>
        <v>0</v>
      </c>
      <c r="AM128" s="49"/>
      <c r="AN128" s="49">
        <f t="shared" si="30"/>
        <v>0</v>
      </c>
      <c r="AO128" s="49"/>
    </row>
    <row r="129" spans="1:41" s="18" customFormat="1" ht="13.2" x14ac:dyDescent="0.25">
      <c r="A129" s="46">
        <v>26640</v>
      </c>
      <c r="B129" s="45" t="s">
        <v>176</v>
      </c>
      <c r="C129" s="43">
        <v>4760984.4000000004</v>
      </c>
      <c r="D129" s="43">
        <f>C129/12</f>
        <v>396748.7</v>
      </c>
      <c r="E129" s="43"/>
      <c r="F129" s="43">
        <v>399100</v>
      </c>
      <c r="G129" s="43">
        <f>C129*23.3/100</f>
        <v>1109309.3652000001</v>
      </c>
      <c r="H129" s="44">
        <f>(E129+F129)/(8725103.2+9421212.6)*100</f>
        <v>2.1993445082665213</v>
      </c>
      <c r="I129" s="43">
        <v>291649.59999999998</v>
      </c>
      <c r="J129" s="43"/>
      <c r="K129" s="43"/>
      <c r="L129" s="43">
        <f t="shared" si="48"/>
        <v>291649.59999999998</v>
      </c>
      <c r="M129" s="43">
        <v>284127.90000000002</v>
      </c>
      <c r="N129" s="43">
        <f t="shared" si="50"/>
        <v>-7521.6999999999534</v>
      </c>
      <c r="O129" s="43">
        <f>M129/L129*100</f>
        <v>97.420980519088673</v>
      </c>
      <c r="P129" s="43">
        <v>1339037.7999999998</v>
      </c>
      <c r="Q129" s="44">
        <f t="shared" si="51"/>
        <v>5.4633129693785127</v>
      </c>
      <c r="R129" s="43">
        <f>6201897*Q129/100</f>
        <v>338829.04314849689</v>
      </c>
      <c r="S129" s="43"/>
      <c r="T129" s="43"/>
      <c r="U129" s="43">
        <v>854465.4</v>
      </c>
      <c r="V129" s="43"/>
      <c r="W129" s="43"/>
      <c r="X129" s="43">
        <f t="shared" si="34"/>
        <v>1193294.443148497</v>
      </c>
      <c r="Y129" s="43"/>
      <c r="Z129" s="43">
        <v>120000</v>
      </c>
      <c r="AA129" s="43">
        <f>50000+20000+170000</f>
        <v>240000</v>
      </c>
      <c r="AB129" s="43">
        <v>282250</v>
      </c>
      <c r="AC129" s="43"/>
      <c r="AD129" s="43">
        <f t="shared" si="35"/>
        <v>642250</v>
      </c>
      <c r="AE129" s="43">
        <f>600000-500000</f>
        <v>100000</v>
      </c>
      <c r="AF129" s="43">
        <f>80000+19900+199770.7+400000+260000</f>
        <v>959670.7</v>
      </c>
      <c r="AG129" s="43">
        <f>25000+40000</f>
        <v>65000</v>
      </c>
      <c r="AH129" s="42">
        <f t="shared" si="28"/>
        <v>1124670.7</v>
      </c>
      <c r="AI129" s="41">
        <f>330000+691000+379000+120000</f>
        <v>1520000</v>
      </c>
      <c r="AJ129" s="40">
        <v>1585000</v>
      </c>
      <c r="AK129" s="49">
        <v>201267</v>
      </c>
      <c r="AL129" s="39">
        <f t="shared" si="29"/>
        <v>201267</v>
      </c>
      <c r="AM129" s="49">
        <f>463476.3+72819.6</f>
        <v>536295.9</v>
      </c>
      <c r="AN129" s="49">
        <f t="shared" si="30"/>
        <v>737562.9</v>
      </c>
      <c r="AO129" s="114">
        <f>696+801999.6</f>
        <v>802695.6</v>
      </c>
    </row>
    <row r="130" spans="1:41" s="18" customFormat="1" ht="13.5" customHeight="1" x14ac:dyDescent="0.25">
      <c r="A130" s="46">
        <v>26652</v>
      </c>
      <c r="B130" s="45" t="s">
        <v>175</v>
      </c>
      <c r="C130" s="43">
        <v>500000</v>
      </c>
      <c r="D130" s="43">
        <f>C130/12</f>
        <v>41666.666666666664</v>
      </c>
      <c r="E130" s="43"/>
      <c r="F130" s="43"/>
      <c r="G130" s="43">
        <f>C130*23.3/100</f>
        <v>116500</v>
      </c>
      <c r="H130" s="44">
        <f>(E130+F130)/(8725103.2+9421212.6)*100</f>
        <v>0</v>
      </c>
      <c r="I130" s="43">
        <f>7990664.7*H130/100</f>
        <v>0</v>
      </c>
      <c r="J130" s="43">
        <v>2500</v>
      </c>
      <c r="K130" s="43"/>
      <c r="L130" s="43">
        <f t="shared" si="48"/>
        <v>2500</v>
      </c>
      <c r="M130" s="43">
        <v>2500</v>
      </c>
      <c r="N130" s="43">
        <f t="shared" si="50"/>
        <v>0</v>
      </c>
      <c r="O130" s="43">
        <f>M130/L130*100</f>
        <v>100</v>
      </c>
      <c r="P130" s="43">
        <v>247500</v>
      </c>
      <c r="Q130" s="44">
        <f t="shared" si="51"/>
        <v>1.0098071614716047</v>
      </c>
      <c r="R130" s="43">
        <f>6201897*Q130/100-62627.2</f>
        <v>5.3092604503035545E-5</v>
      </c>
      <c r="S130" s="43"/>
      <c r="T130" s="43"/>
      <c r="U130" s="43"/>
      <c r="V130" s="43"/>
      <c r="W130" s="43"/>
      <c r="X130" s="91">
        <f t="shared" ref="X130:X166" si="52">SUM(R130:V130)</f>
        <v>5.3092604503035545E-5</v>
      </c>
      <c r="Y130" s="43">
        <v>82500</v>
      </c>
      <c r="Z130" s="43">
        <f>D130</f>
        <v>41666.666666666664</v>
      </c>
      <c r="AA130" s="43"/>
      <c r="AB130" s="43"/>
      <c r="AC130" s="43"/>
      <c r="AD130" s="43">
        <f t="shared" ref="AD130:AD162" si="53">SUM(Z130:AC130)</f>
        <v>41666.666666666664</v>
      </c>
      <c r="AE130" s="43"/>
      <c r="AF130" s="43">
        <v>43400</v>
      </c>
      <c r="AG130" s="43"/>
      <c r="AH130" s="42">
        <f t="shared" ref="AH130:AH193" si="54">AE130+AF130+AG130</f>
        <v>43400</v>
      </c>
      <c r="AI130" s="41">
        <v>43400</v>
      </c>
      <c r="AJ130" s="40">
        <v>89150</v>
      </c>
      <c r="AK130" s="49"/>
      <c r="AL130" s="39">
        <f t="shared" si="29"/>
        <v>0</v>
      </c>
      <c r="AM130" s="49">
        <v>184800</v>
      </c>
      <c r="AN130" s="49">
        <f t="shared" si="30"/>
        <v>184800</v>
      </c>
      <c r="AO130" s="49"/>
    </row>
    <row r="131" spans="1:41" s="18" customFormat="1" ht="13.2" x14ac:dyDescent="0.25">
      <c r="A131" s="46">
        <v>26653</v>
      </c>
      <c r="B131" s="45" t="s">
        <v>174</v>
      </c>
      <c r="C131" s="43">
        <v>8103602.5999999996</v>
      </c>
      <c r="D131" s="43">
        <f>C131/12</f>
        <v>675300.21666666667</v>
      </c>
      <c r="E131" s="43"/>
      <c r="F131" s="43"/>
      <c r="G131" s="43">
        <f>C131*23.3/100</f>
        <v>1888139.4057999998</v>
      </c>
      <c r="H131" s="44">
        <f>(E131+F131)/(8725103.2+9421212.6)*100</f>
        <v>0</v>
      </c>
      <c r="I131" s="43"/>
      <c r="J131" s="43"/>
      <c r="K131" s="43"/>
      <c r="L131" s="43">
        <f t="shared" si="48"/>
        <v>0</v>
      </c>
      <c r="M131" s="47"/>
      <c r="N131" s="43">
        <f t="shared" si="50"/>
        <v>0</v>
      </c>
      <c r="O131" s="43"/>
      <c r="P131" s="43">
        <v>450549.90000000014</v>
      </c>
      <c r="Q131" s="44">
        <f t="shared" si="51"/>
        <v>1.838256628768951</v>
      </c>
      <c r="R131" s="43">
        <f>6201897*Q131/100-114006.8</f>
        <v>-1.7288077287958004E-2</v>
      </c>
      <c r="S131" s="43"/>
      <c r="T131" s="43"/>
      <c r="U131" s="43"/>
      <c r="V131" s="43"/>
      <c r="W131" s="43"/>
      <c r="X131" s="91">
        <f t="shared" si="52"/>
        <v>-1.7288077287958004E-2</v>
      </c>
      <c r="Y131" s="43">
        <v>101537</v>
      </c>
      <c r="Z131" s="43"/>
      <c r="AA131" s="43"/>
      <c r="AB131" s="43"/>
      <c r="AC131" s="43"/>
      <c r="AD131" s="43">
        <f t="shared" si="53"/>
        <v>0</v>
      </c>
      <c r="AE131" s="43"/>
      <c r="AF131" s="43"/>
      <c r="AG131" s="43"/>
      <c r="AH131" s="42">
        <f t="shared" si="54"/>
        <v>0</v>
      </c>
      <c r="AI131" s="41"/>
      <c r="AJ131" s="40">
        <v>0</v>
      </c>
      <c r="AK131" s="49"/>
      <c r="AL131" s="39">
        <f t="shared" ref="AL131:AL194" si="55">AK131</f>
        <v>0</v>
      </c>
      <c r="AM131" s="49"/>
      <c r="AN131" s="49">
        <f t="shared" ref="AN131:AN194" si="56">AK131+AM131</f>
        <v>0</v>
      </c>
      <c r="AO131" s="49"/>
    </row>
    <row r="132" spans="1:41" s="18" customFormat="1" ht="20.399999999999999" x14ac:dyDescent="0.25">
      <c r="A132" s="46">
        <v>26655</v>
      </c>
      <c r="B132" s="45" t="s">
        <v>324</v>
      </c>
      <c r="C132" s="43"/>
      <c r="D132" s="43"/>
      <c r="E132" s="43"/>
      <c r="F132" s="43"/>
      <c r="G132" s="43"/>
      <c r="H132" s="44"/>
      <c r="I132" s="43"/>
      <c r="J132" s="43"/>
      <c r="K132" s="43"/>
      <c r="L132" s="43"/>
      <c r="M132" s="43"/>
      <c r="N132" s="43"/>
      <c r="O132" s="43"/>
      <c r="P132" s="43"/>
      <c r="Q132" s="44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2"/>
      <c r="AI132" s="41"/>
      <c r="AJ132" s="40">
        <v>10000</v>
      </c>
      <c r="AK132" s="49"/>
      <c r="AL132" s="39">
        <f t="shared" si="55"/>
        <v>0</v>
      </c>
      <c r="AM132" s="49"/>
      <c r="AN132" s="49">
        <f t="shared" si="56"/>
        <v>0</v>
      </c>
      <c r="AO132" s="49"/>
    </row>
    <row r="133" spans="1:41" s="18" customFormat="1" ht="20.399999999999999" x14ac:dyDescent="0.25">
      <c r="A133" s="46">
        <v>26660</v>
      </c>
      <c r="B133" s="45" t="s">
        <v>173</v>
      </c>
      <c r="C133" s="43"/>
      <c r="D133" s="43"/>
      <c r="E133" s="43"/>
      <c r="F133" s="43"/>
      <c r="G133" s="43"/>
      <c r="H133" s="44"/>
      <c r="I133" s="43"/>
      <c r="J133" s="43"/>
      <c r="K133" s="43"/>
      <c r="L133" s="43"/>
      <c r="M133" s="43"/>
      <c r="N133" s="43"/>
      <c r="O133" s="43"/>
      <c r="P133" s="43"/>
      <c r="Q133" s="44"/>
      <c r="R133" s="43"/>
      <c r="S133" s="43"/>
      <c r="T133" s="43"/>
      <c r="U133" s="43">
        <f>31045.4+20000</f>
        <v>51045.4</v>
      </c>
      <c r="V133" s="43"/>
      <c r="W133" s="43"/>
      <c r="X133" s="43">
        <f t="shared" si="52"/>
        <v>51045.4</v>
      </c>
      <c r="Y133" s="43"/>
      <c r="Z133" s="43">
        <f t="shared" ref="Z133:Z166" si="57">Y133</f>
        <v>0</v>
      </c>
      <c r="AA133" s="43">
        <f>31045.4+20000</f>
        <v>51045.4</v>
      </c>
      <c r="AB133" s="43"/>
      <c r="AC133" s="43"/>
      <c r="AD133" s="43">
        <f t="shared" si="53"/>
        <v>51045.4</v>
      </c>
      <c r="AE133" s="43"/>
      <c r="AF133" s="43"/>
      <c r="AG133" s="43"/>
      <c r="AH133" s="42">
        <f t="shared" si="54"/>
        <v>0</v>
      </c>
      <c r="AI133" s="41"/>
      <c r="AJ133" s="40">
        <v>10000</v>
      </c>
      <c r="AK133" s="49"/>
      <c r="AL133" s="39">
        <f t="shared" si="55"/>
        <v>0</v>
      </c>
      <c r="AM133" s="49"/>
      <c r="AN133" s="49">
        <f t="shared" si="56"/>
        <v>0</v>
      </c>
      <c r="AO133" s="49"/>
    </row>
    <row r="134" spans="1:41" s="18" customFormat="1" ht="20.399999999999999" x14ac:dyDescent="0.25">
      <c r="A134" s="46">
        <v>26720</v>
      </c>
      <c r="B134" s="45" t="s">
        <v>172</v>
      </c>
      <c r="C134" s="43">
        <v>174147.1</v>
      </c>
      <c r="D134" s="43">
        <f t="shared" ref="D134:D164" si="58">C134/12</f>
        <v>14512.258333333333</v>
      </c>
      <c r="E134" s="43">
        <v>9776.5</v>
      </c>
      <c r="F134" s="43">
        <v>10259.700000000001</v>
      </c>
      <c r="G134" s="43">
        <f t="shared" ref="G134:G164" si="59">C134*23.3/100</f>
        <v>40576.274300000005</v>
      </c>
      <c r="H134" s="44">
        <f t="shared" ref="H134:H141" si="60">(E134+F134)/(8725103.2+9421212.6)*100</f>
        <v>0.1104146991644442</v>
      </c>
      <c r="I134" s="43">
        <v>18482.7</v>
      </c>
      <c r="J134" s="43"/>
      <c r="K134" s="43">
        <v>-336.8</v>
      </c>
      <c r="L134" s="43">
        <f t="shared" ref="L134:L164" si="61">SUM(I134:K134)</f>
        <v>18145.900000000001</v>
      </c>
      <c r="M134" s="43">
        <v>18143.5</v>
      </c>
      <c r="N134" s="43">
        <f t="shared" ref="N134:N164" si="62">M134-L134</f>
        <v>-2.4000000000014552</v>
      </c>
      <c r="O134" s="43">
        <f t="shared" ref="O134:O141" si="63">M134/L134*100</f>
        <v>99.986773871783697</v>
      </c>
      <c r="P134" s="43">
        <v>46804.399999999994</v>
      </c>
      <c r="Q134" s="44">
        <f t="shared" ref="Q134:Q164" si="64">P134/24509630.1*100</f>
        <v>0.19096330629649114</v>
      </c>
      <c r="R134" s="43">
        <f t="shared" ref="R134:R141" si="65">6201897*Q134/100</f>
        <v>11843.347564302894</v>
      </c>
      <c r="S134" s="43">
        <v>3758.1</v>
      </c>
      <c r="T134" s="43"/>
      <c r="U134" s="43"/>
      <c r="V134" s="43"/>
      <c r="W134" s="43"/>
      <c r="X134" s="43">
        <f t="shared" si="52"/>
        <v>15601.447564302895</v>
      </c>
      <c r="Y134" s="43">
        <v>10827</v>
      </c>
      <c r="Z134" s="43">
        <f t="shared" si="57"/>
        <v>10827</v>
      </c>
      <c r="AA134" s="43"/>
      <c r="AB134" s="43"/>
      <c r="AC134" s="43">
        <v>5149.8999999999996</v>
      </c>
      <c r="AD134" s="43">
        <f t="shared" si="53"/>
        <v>15976.9</v>
      </c>
      <c r="AE134" s="43">
        <v>11706.599999999999</v>
      </c>
      <c r="AF134" s="43"/>
      <c r="AG134" s="43"/>
      <c r="AH134" s="42">
        <f t="shared" si="54"/>
        <v>11706.599999999999</v>
      </c>
      <c r="AI134" s="41">
        <f>13500+2000+2500</f>
        <v>18000</v>
      </c>
      <c r="AJ134" s="40">
        <v>17615</v>
      </c>
      <c r="AK134" s="49">
        <f>18000-6000</f>
        <v>12000</v>
      </c>
      <c r="AL134" s="39">
        <f t="shared" si="55"/>
        <v>12000</v>
      </c>
      <c r="AM134" s="49"/>
      <c r="AN134" s="49">
        <f t="shared" si="56"/>
        <v>12000</v>
      </c>
      <c r="AO134" s="49">
        <f>27284.1/3</f>
        <v>9094.6999999999989</v>
      </c>
    </row>
    <row r="135" spans="1:41" s="18" customFormat="1" ht="20.399999999999999" x14ac:dyDescent="0.25">
      <c r="A135" s="46">
        <v>26730</v>
      </c>
      <c r="B135" s="45" t="s">
        <v>171</v>
      </c>
      <c r="C135" s="43">
        <v>307240.40000000002</v>
      </c>
      <c r="D135" s="43">
        <f t="shared" si="58"/>
        <v>25603.366666666669</v>
      </c>
      <c r="E135" s="43">
        <v>19599.2</v>
      </c>
      <c r="F135" s="43">
        <v>22754.9</v>
      </c>
      <c r="G135" s="43">
        <f t="shared" si="59"/>
        <v>71587.013200000001</v>
      </c>
      <c r="H135" s="44">
        <f t="shared" si="60"/>
        <v>0.23340330052009792</v>
      </c>
      <c r="I135" s="43">
        <v>25366.2</v>
      </c>
      <c r="J135" s="43"/>
      <c r="K135" s="43"/>
      <c r="L135" s="43">
        <f t="shared" si="61"/>
        <v>25366.2</v>
      </c>
      <c r="M135" s="43">
        <v>25366.2</v>
      </c>
      <c r="N135" s="43">
        <f t="shared" si="62"/>
        <v>0</v>
      </c>
      <c r="O135" s="43">
        <f t="shared" si="63"/>
        <v>100</v>
      </c>
      <c r="P135" s="43">
        <v>86287.8</v>
      </c>
      <c r="Q135" s="44">
        <f t="shared" si="64"/>
        <v>0.35205672075809907</v>
      </c>
      <c r="R135" s="43">
        <f t="shared" si="65"/>
        <v>21834.195202994924</v>
      </c>
      <c r="S135" s="43">
        <v>3000</v>
      </c>
      <c r="T135" s="43">
        <v>2050</v>
      </c>
      <c r="U135" s="43"/>
      <c r="V135" s="43"/>
      <c r="W135" s="43"/>
      <c r="X135" s="43">
        <f t="shared" si="52"/>
        <v>26884.195202994924</v>
      </c>
      <c r="Y135" s="43">
        <v>20361</v>
      </c>
      <c r="Z135" s="43">
        <f t="shared" si="57"/>
        <v>20361</v>
      </c>
      <c r="AA135" s="43"/>
      <c r="AB135" s="43"/>
      <c r="AC135" s="43">
        <v>3500</v>
      </c>
      <c r="AD135" s="43">
        <f t="shared" si="53"/>
        <v>23861</v>
      </c>
      <c r="AE135" s="43">
        <v>21234.199999999997</v>
      </c>
      <c r="AF135" s="43"/>
      <c r="AG135" s="43"/>
      <c r="AH135" s="42">
        <f t="shared" si="54"/>
        <v>21234.199999999997</v>
      </c>
      <c r="AI135" s="41">
        <f>24955.8+1000</f>
        <v>25955.8</v>
      </c>
      <c r="AJ135" s="40">
        <v>31487.8</v>
      </c>
      <c r="AK135" s="49">
        <f>30000-8000</f>
        <v>22000</v>
      </c>
      <c r="AL135" s="39">
        <f t="shared" si="55"/>
        <v>22000</v>
      </c>
      <c r="AM135" s="49"/>
      <c r="AN135" s="49">
        <f t="shared" si="56"/>
        <v>22000</v>
      </c>
      <c r="AO135" s="49">
        <f>55235.8/3</f>
        <v>18411.933333333334</v>
      </c>
    </row>
    <row r="136" spans="1:41" s="18" customFormat="1" ht="13.5" customHeight="1" x14ac:dyDescent="0.25">
      <c r="A136" s="46">
        <v>28230</v>
      </c>
      <c r="B136" s="45" t="s">
        <v>170</v>
      </c>
      <c r="C136" s="43">
        <v>27036.6</v>
      </c>
      <c r="D136" s="43">
        <f t="shared" si="58"/>
        <v>2253.0499999999997</v>
      </c>
      <c r="E136" s="43">
        <v>1756.3</v>
      </c>
      <c r="F136" s="43">
        <v>2086.6</v>
      </c>
      <c r="G136" s="43">
        <f t="shared" si="59"/>
        <v>6299.5277999999998</v>
      </c>
      <c r="H136" s="44">
        <f t="shared" si="60"/>
        <v>2.1177301455318001E-2</v>
      </c>
      <c r="I136" s="43">
        <v>1980.8</v>
      </c>
      <c r="J136" s="43"/>
      <c r="K136" s="43"/>
      <c r="L136" s="43">
        <f t="shared" si="61"/>
        <v>1980.8</v>
      </c>
      <c r="M136" s="43">
        <v>1371.4</v>
      </c>
      <c r="N136" s="43">
        <f t="shared" si="62"/>
        <v>-609.39999999999986</v>
      </c>
      <c r="O136" s="43">
        <f t="shared" si="63"/>
        <v>69.234652665589664</v>
      </c>
      <c r="P136" s="43">
        <v>7182.4000000000005</v>
      </c>
      <c r="Q136" s="44">
        <f t="shared" si="64"/>
        <v>2.9304399824459201E-2</v>
      </c>
      <c r="R136" s="43">
        <f t="shared" si="65"/>
        <v>1817.4286935811406</v>
      </c>
      <c r="S136" s="43"/>
      <c r="T136" s="43"/>
      <c r="U136" s="43"/>
      <c r="V136" s="43"/>
      <c r="W136" s="43"/>
      <c r="X136" s="43">
        <f t="shared" si="52"/>
        <v>1817.4286935811406</v>
      </c>
      <c r="Y136" s="43">
        <v>1595</v>
      </c>
      <c r="Z136" s="43">
        <f t="shared" si="57"/>
        <v>1595</v>
      </c>
      <c r="AA136" s="43"/>
      <c r="AB136" s="43"/>
      <c r="AC136" s="43">
        <v>350</v>
      </c>
      <c r="AD136" s="43">
        <f t="shared" si="53"/>
        <v>1945</v>
      </c>
      <c r="AE136" s="43">
        <v>2146.7000000000003</v>
      </c>
      <c r="AF136" s="43"/>
      <c r="AG136" s="43"/>
      <c r="AH136" s="42">
        <f t="shared" si="54"/>
        <v>2146.7000000000003</v>
      </c>
      <c r="AI136" s="41">
        <v>2312.5</v>
      </c>
      <c r="AJ136" s="40">
        <v>1815.5</v>
      </c>
      <c r="AK136" s="49">
        <f>2307.8-700</f>
        <v>1607.8000000000002</v>
      </c>
      <c r="AL136" s="39">
        <f t="shared" si="55"/>
        <v>1607.8000000000002</v>
      </c>
      <c r="AM136" s="49"/>
      <c r="AN136" s="49">
        <f t="shared" si="56"/>
        <v>1607.8000000000002</v>
      </c>
      <c r="AO136" s="49">
        <f>5099.5/3</f>
        <v>1699.8333333333333</v>
      </c>
    </row>
    <row r="137" spans="1:41" s="18" customFormat="1" ht="13.2" x14ac:dyDescent="0.25">
      <c r="A137" s="46">
        <v>28240</v>
      </c>
      <c r="B137" s="45" t="s">
        <v>169</v>
      </c>
      <c r="C137" s="43">
        <v>11009.9</v>
      </c>
      <c r="D137" s="43">
        <f t="shared" si="58"/>
        <v>917.49166666666667</v>
      </c>
      <c r="E137" s="43">
        <v>909.6</v>
      </c>
      <c r="F137" s="43">
        <v>868</v>
      </c>
      <c r="G137" s="43">
        <f t="shared" si="59"/>
        <v>2565.3067000000001</v>
      </c>
      <c r="H137" s="44">
        <f t="shared" si="60"/>
        <v>9.7959278323592278E-3</v>
      </c>
      <c r="I137" s="43">
        <v>788.7</v>
      </c>
      <c r="J137" s="43"/>
      <c r="K137" s="43"/>
      <c r="L137" s="43">
        <f t="shared" si="61"/>
        <v>788.7</v>
      </c>
      <c r="M137" s="43">
        <v>155.9</v>
      </c>
      <c r="N137" s="43">
        <f t="shared" si="62"/>
        <v>-632.80000000000007</v>
      </c>
      <c r="O137" s="43">
        <f t="shared" si="63"/>
        <v>19.766704703943198</v>
      </c>
      <c r="P137" s="43">
        <v>2875.0999999999995</v>
      </c>
      <c r="Q137" s="44">
        <f t="shared" si="64"/>
        <v>1.1730491191705088E-2</v>
      </c>
      <c r="R137" s="43">
        <f t="shared" si="65"/>
        <v>727.51298130362204</v>
      </c>
      <c r="S137" s="43"/>
      <c r="T137" s="43"/>
      <c r="U137" s="43"/>
      <c r="V137" s="43"/>
      <c r="W137" s="43"/>
      <c r="X137" s="43">
        <f t="shared" si="52"/>
        <v>727.51298130362204</v>
      </c>
      <c r="Y137" s="43">
        <v>781</v>
      </c>
      <c r="Z137" s="43">
        <f t="shared" si="57"/>
        <v>781</v>
      </c>
      <c r="AA137" s="43"/>
      <c r="AB137" s="43"/>
      <c r="AC137" s="43"/>
      <c r="AD137" s="43">
        <f t="shared" si="53"/>
        <v>781</v>
      </c>
      <c r="AE137" s="43">
        <f>1808.3-800</f>
        <v>1008.3</v>
      </c>
      <c r="AF137" s="43"/>
      <c r="AG137" s="43"/>
      <c r="AH137" s="42">
        <f t="shared" si="54"/>
        <v>1008.3</v>
      </c>
      <c r="AI137" s="41">
        <v>1001.7</v>
      </c>
      <c r="AJ137" s="40">
        <v>802.7</v>
      </c>
      <c r="AK137" s="49">
        <f>1056.26666666667-200</f>
        <v>856.26666666667006</v>
      </c>
      <c r="AL137" s="39">
        <f t="shared" si="55"/>
        <v>856.26666666667006</v>
      </c>
      <c r="AM137" s="49"/>
      <c r="AN137" s="49">
        <f t="shared" si="56"/>
        <v>856.26666666667006</v>
      </c>
      <c r="AO137" s="49">
        <f>1607.1/3</f>
        <v>535.69999999999993</v>
      </c>
    </row>
    <row r="138" spans="1:41" s="18" customFormat="1" ht="20.399999999999999" x14ac:dyDescent="0.25">
      <c r="A138" s="46">
        <v>28250</v>
      </c>
      <c r="B138" s="45" t="s">
        <v>168</v>
      </c>
      <c r="C138" s="43">
        <v>11518.8</v>
      </c>
      <c r="D138" s="43">
        <f t="shared" si="58"/>
        <v>959.9</v>
      </c>
      <c r="E138" s="43">
        <v>953.2</v>
      </c>
      <c r="F138" s="43">
        <v>937.6</v>
      </c>
      <c r="G138" s="43">
        <f t="shared" si="59"/>
        <v>2683.8804</v>
      </c>
      <c r="H138" s="44">
        <f t="shared" si="60"/>
        <v>1.0419745918893357E-2</v>
      </c>
      <c r="I138" s="43">
        <v>884.9</v>
      </c>
      <c r="J138" s="43"/>
      <c r="K138" s="43"/>
      <c r="L138" s="43">
        <f t="shared" si="61"/>
        <v>884.9</v>
      </c>
      <c r="M138" s="43">
        <v>699.7</v>
      </c>
      <c r="N138" s="43">
        <f t="shared" si="62"/>
        <v>-185.19999999999993</v>
      </c>
      <c r="O138" s="43">
        <f t="shared" si="63"/>
        <v>79.071081478133138</v>
      </c>
      <c r="P138" s="43">
        <v>2996.7</v>
      </c>
      <c r="Q138" s="44">
        <f t="shared" si="64"/>
        <v>1.2226622710230129E-2</v>
      </c>
      <c r="R138" s="43">
        <f t="shared" si="65"/>
        <v>758.28254706708105</v>
      </c>
      <c r="S138" s="43"/>
      <c r="T138" s="43"/>
      <c r="U138" s="43"/>
      <c r="V138" s="43"/>
      <c r="W138" s="43"/>
      <c r="X138" s="43">
        <f t="shared" si="52"/>
        <v>758.28254706708105</v>
      </c>
      <c r="Y138" s="43">
        <v>886</v>
      </c>
      <c r="Z138" s="43">
        <f t="shared" si="57"/>
        <v>886</v>
      </c>
      <c r="AA138" s="43"/>
      <c r="AB138" s="43"/>
      <c r="AC138" s="43"/>
      <c r="AD138" s="43">
        <f t="shared" si="53"/>
        <v>886</v>
      </c>
      <c r="AE138" s="43">
        <v>1141.5999999999999</v>
      </c>
      <c r="AF138" s="43"/>
      <c r="AG138" s="43"/>
      <c r="AH138" s="42">
        <f t="shared" si="54"/>
        <v>1141.5999999999999</v>
      </c>
      <c r="AI138" s="41">
        <v>960.9</v>
      </c>
      <c r="AJ138" s="40">
        <v>1018.4</v>
      </c>
      <c r="AK138" s="49">
        <v>956.26666666666665</v>
      </c>
      <c r="AL138" s="39">
        <f t="shared" si="55"/>
        <v>956.26666666666665</v>
      </c>
      <c r="AM138" s="49"/>
      <c r="AN138" s="49">
        <f t="shared" si="56"/>
        <v>956.26666666666665</v>
      </c>
      <c r="AO138" s="49">
        <f>2529.2/3</f>
        <v>843.06666666666661</v>
      </c>
    </row>
    <row r="139" spans="1:41" s="18" customFormat="1" ht="13.5" customHeight="1" x14ac:dyDescent="0.25">
      <c r="A139" s="46">
        <v>28260</v>
      </c>
      <c r="B139" s="45" t="s">
        <v>167</v>
      </c>
      <c r="C139" s="43">
        <v>17027.900000000001</v>
      </c>
      <c r="D139" s="43">
        <f t="shared" si="58"/>
        <v>1418.9916666666668</v>
      </c>
      <c r="E139" s="43">
        <v>1179.3</v>
      </c>
      <c r="F139" s="43">
        <v>1249.2</v>
      </c>
      <c r="G139" s="43">
        <f t="shared" si="59"/>
        <v>3967.5007000000005</v>
      </c>
      <c r="H139" s="44">
        <f t="shared" si="60"/>
        <v>1.338288182993046E-2</v>
      </c>
      <c r="I139" s="43">
        <v>1401.1</v>
      </c>
      <c r="J139" s="43"/>
      <c r="K139" s="43"/>
      <c r="L139" s="43">
        <f t="shared" si="61"/>
        <v>1401.1</v>
      </c>
      <c r="M139" s="43">
        <v>1401.1</v>
      </c>
      <c r="N139" s="43">
        <f t="shared" si="62"/>
        <v>0</v>
      </c>
      <c r="O139" s="43">
        <f t="shared" si="63"/>
        <v>100</v>
      </c>
      <c r="P139" s="43">
        <v>4561.2999999999993</v>
      </c>
      <c r="Q139" s="44">
        <f t="shared" si="64"/>
        <v>1.8610235982304765E-2</v>
      </c>
      <c r="R139" s="43">
        <f t="shared" si="65"/>
        <v>1154.1876670794798</v>
      </c>
      <c r="S139" s="43"/>
      <c r="T139" s="43"/>
      <c r="U139" s="43"/>
      <c r="V139" s="43"/>
      <c r="W139" s="43"/>
      <c r="X139" s="43">
        <f t="shared" si="52"/>
        <v>1154.1876670794798</v>
      </c>
      <c r="Y139" s="43">
        <v>1100</v>
      </c>
      <c r="Z139" s="43">
        <f t="shared" si="57"/>
        <v>1100</v>
      </c>
      <c r="AA139" s="43"/>
      <c r="AB139" s="43"/>
      <c r="AC139" s="43"/>
      <c r="AD139" s="43">
        <f t="shared" si="53"/>
        <v>1100</v>
      </c>
      <c r="AE139" s="43">
        <v>1437.4999999999998</v>
      </c>
      <c r="AF139" s="43">
        <v>200</v>
      </c>
      <c r="AG139" s="43"/>
      <c r="AH139" s="42">
        <f t="shared" si="54"/>
        <v>1637.4999999999998</v>
      </c>
      <c r="AI139" s="41">
        <v>1380.7</v>
      </c>
      <c r="AJ139" s="40">
        <v>1766.8000000000002</v>
      </c>
      <c r="AK139" s="49">
        <f>1853.7-500</f>
        <v>1353.7</v>
      </c>
      <c r="AL139" s="39">
        <f t="shared" si="55"/>
        <v>1353.7</v>
      </c>
      <c r="AM139" s="49"/>
      <c r="AN139" s="49">
        <f t="shared" si="56"/>
        <v>1353.7</v>
      </c>
      <c r="AO139" s="49">
        <f>3164.3/3</f>
        <v>1054.7666666666667</v>
      </c>
    </row>
    <row r="140" spans="1:41" s="18" customFormat="1" ht="13.2" x14ac:dyDescent="0.25">
      <c r="A140" s="46">
        <v>28270</v>
      </c>
      <c r="B140" s="45" t="s">
        <v>166</v>
      </c>
      <c r="C140" s="43">
        <v>6466</v>
      </c>
      <c r="D140" s="43">
        <f t="shared" si="58"/>
        <v>538.83333333333337</v>
      </c>
      <c r="E140" s="43">
        <v>508</v>
      </c>
      <c r="F140" s="43">
        <v>503.9</v>
      </c>
      <c r="G140" s="43">
        <f t="shared" si="59"/>
        <v>1506.5780000000002</v>
      </c>
      <c r="H140" s="44">
        <f t="shared" si="60"/>
        <v>5.5763385314830686E-3</v>
      </c>
      <c r="I140" s="43">
        <v>459.3</v>
      </c>
      <c r="J140" s="43"/>
      <c r="K140" s="43"/>
      <c r="L140" s="43">
        <f t="shared" si="61"/>
        <v>459.3</v>
      </c>
      <c r="M140" s="43">
        <v>459.3</v>
      </c>
      <c r="N140" s="43">
        <f t="shared" si="62"/>
        <v>0</v>
      </c>
      <c r="O140" s="43">
        <f t="shared" si="63"/>
        <v>100</v>
      </c>
      <c r="P140" s="43">
        <v>1704.8999999999999</v>
      </c>
      <c r="Q140" s="44">
        <f t="shared" si="64"/>
        <v>6.9560413316886406E-3</v>
      </c>
      <c r="R140" s="43">
        <f t="shared" si="65"/>
        <v>431.40651866875783</v>
      </c>
      <c r="S140" s="43"/>
      <c r="T140" s="43"/>
      <c r="U140" s="43"/>
      <c r="V140" s="43"/>
      <c r="W140" s="43"/>
      <c r="X140" s="43">
        <f t="shared" si="52"/>
        <v>431.40651866875783</v>
      </c>
      <c r="Y140" s="43">
        <v>487.267</v>
      </c>
      <c r="Z140" s="43">
        <f t="shared" si="57"/>
        <v>487.267</v>
      </c>
      <c r="AA140" s="43"/>
      <c r="AB140" s="43"/>
      <c r="AC140" s="43"/>
      <c r="AD140" s="43">
        <f t="shared" si="53"/>
        <v>487.267</v>
      </c>
      <c r="AE140" s="43">
        <v>614.6</v>
      </c>
      <c r="AF140" s="43"/>
      <c r="AG140" s="43"/>
      <c r="AH140" s="42">
        <f t="shared" si="54"/>
        <v>614.6</v>
      </c>
      <c r="AI140" s="41">
        <v>538.79999999999995</v>
      </c>
      <c r="AJ140" s="40">
        <v>534.29999999999995</v>
      </c>
      <c r="AK140" s="49">
        <v>525.4</v>
      </c>
      <c r="AL140" s="39">
        <f t="shared" si="55"/>
        <v>525.4</v>
      </c>
      <c r="AM140" s="49"/>
      <c r="AN140" s="49">
        <f t="shared" si="56"/>
        <v>525.4</v>
      </c>
      <c r="AO140" s="49">
        <f>1458.4/3</f>
        <v>486.13333333333338</v>
      </c>
    </row>
    <row r="141" spans="1:41" s="18" customFormat="1" ht="20.399999999999999" x14ac:dyDescent="0.25">
      <c r="A141" s="46">
        <v>28320</v>
      </c>
      <c r="B141" s="45" t="s">
        <v>165</v>
      </c>
      <c r="C141" s="43">
        <v>2533.6999999999998</v>
      </c>
      <c r="D141" s="43">
        <f t="shared" si="58"/>
        <v>211.14166666666665</v>
      </c>
      <c r="E141" s="43">
        <v>196.8</v>
      </c>
      <c r="F141" s="43">
        <v>212.5</v>
      </c>
      <c r="G141" s="43">
        <f t="shared" si="59"/>
        <v>590.35209999999995</v>
      </c>
      <c r="H141" s="44">
        <f t="shared" si="60"/>
        <v>2.2555542651803736E-3</v>
      </c>
      <c r="I141" s="43">
        <v>151.80000000000001</v>
      </c>
      <c r="J141" s="43"/>
      <c r="K141" s="43"/>
      <c r="L141" s="43">
        <f t="shared" si="61"/>
        <v>151.80000000000001</v>
      </c>
      <c r="M141" s="43">
        <v>151.80000000000001</v>
      </c>
      <c r="N141" s="43">
        <f t="shared" si="62"/>
        <v>0</v>
      </c>
      <c r="O141" s="43">
        <f t="shared" si="63"/>
        <v>100</v>
      </c>
      <c r="P141" s="43">
        <v>646.80000000000007</v>
      </c>
      <c r="Q141" s="44">
        <f t="shared" si="64"/>
        <v>2.6389627153124598E-3</v>
      </c>
      <c r="R141" s="43">
        <f t="shared" si="65"/>
        <v>163.66574947208198</v>
      </c>
      <c r="S141" s="43"/>
      <c r="T141" s="43"/>
      <c r="U141" s="43"/>
      <c r="V141" s="43"/>
      <c r="W141" s="43"/>
      <c r="X141" s="43">
        <f t="shared" si="52"/>
        <v>163.66574947208198</v>
      </c>
      <c r="Y141" s="43">
        <v>160</v>
      </c>
      <c r="Z141" s="43">
        <f t="shared" si="57"/>
        <v>160</v>
      </c>
      <c r="AA141" s="43"/>
      <c r="AB141" s="43"/>
      <c r="AC141" s="43"/>
      <c r="AD141" s="43">
        <f t="shared" si="53"/>
        <v>160</v>
      </c>
      <c r="AE141" s="43">
        <v>253.1</v>
      </c>
      <c r="AF141" s="43">
        <f>323.1-AE141</f>
        <v>70.000000000000028</v>
      </c>
      <c r="AG141" s="43"/>
      <c r="AH141" s="42">
        <f t="shared" si="54"/>
        <v>323.10000000000002</v>
      </c>
      <c r="AI141" s="41">
        <v>201.6</v>
      </c>
      <c r="AJ141" s="40">
        <v>201.6</v>
      </c>
      <c r="AK141" s="49">
        <v>248.1</v>
      </c>
      <c r="AL141" s="39">
        <f t="shared" si="55"/>
        <v>248.1</v>
      </c>
      <c r="AM141" s="49"/>
      <c r="AN141" s="49">
        <f t="shared" si="56"/>
        <v>248.1</v>
      </c>
      <c r="AO141" s="49">
        <f>614.2/3</f>
        <v>204.73333333333335</v>
      </c>
    </row>
    <row r="142" spans="1:41" s="18" customFormat="1" ht="20.399999999999999" x14ac:dyDescent="0.25">
      <c r="A142" s="46">
        <v>28421</v>
      </c>
      <c r="B142" s="45" t="s">
        <v>164</v>
      </c>
      <c r="C142" s="43">
        <v>1137723.3999999999</v>
      </c>
      <c r="D142" s="43">
        <f t="shared" si="58"/>
        <v>94810.283333333326</v>
      </c>
      <c r="E142" s="43">
        <v>320000</v>
      </c>
      <c r="F142" s="43">
        <v>170000</v>
      </c>
      <c r="G142" s="43">
        <f t="shared" si="59"/>
        <v>265089.55219999998</v>
      </c>
      <c r="H142" s="44">
        <f>(E142+F142)/(8725103.2+9421212.6)*100-0.3461</f>
        <v>2.3541726360576183</v>
      </c>
      <c r="I142" s="43"/>
      <c r="J142" s="43"/>
      <c r="K142" s="43"/>
      <c r="L142" s="43">
        <f t="shared" si="61"/>
        <v>0</v>
      </c>
      <c r="M142" s="47"/>
      <c r="N142" s="43">
        <f t="shared" si="62"/>
        <v>0</v>
      </c>
      <c r="O142" s="43"/>
      <c r="P142" s="43">
        <v>293532.60000000003</v>
      </c>
      <c r="Q142" s="44">
        <f t="shared" si="64"/>
        <v>1.1976215014358784</v>
      </c>
      <c r="R142" s="43">
        <f>6201897*Q142/100+125724.7</f>
        <v>199999.95196890668</v>
      </c>
      <c r="S142" s="43">
        <f>15408.1+4591.9</f>
        <v>20000</v>
      </c>
      <c r="T142" s="43">
        <v>41369</v>
      </c>
      <c r="U142" s="43"/>
      <c r="V142" s="43"/>
      <c r="W142" s="43"/>
      <c r="X142" s="43">
        <f t="shared" si="52"/>
        <v>261368.95196890668</v>
      </c>
      <c r="Y142" s="43"/>
      <c r="Z142" s="43">
        <f t="shared" si="57"/>
        <v>0</v>
      </c>
      <c r="AA142" s="43"/>
      <c r="AB142" s="43"/>
      <c r="AC142" s="43"/>
      <c r="AD142" s="43">
        <f t="shared" si="53"/>
        <v>0</v>
      </c>
      <c r="AE142" s="43"/>
      <c r="AF142" s="43">
        <v>34797.800000000003</v>
      </c>
      <c r="AG142" s="43"/>
      <c r="AH142" s="42">
        <f t="shared" si="54"/>
        <v>34797.800000000003</v>
      </c>
      <c r="AI142" s="41">
        <v>200000</v>
      </c>
      <c r="AJ142" s="40">
        <v>200000</v>
      </c>
      <c r="AK142" s="49">
        <v>4790.2</v>
      </c>
      <c r="AL142" s="39">
        <f t="shared" si="55"/>
        <v>4790.2</v>
      </c>
      <c r="AM142" s="49">
        <v>146766.39999999999</v>
      </c>
      <c r="AN142" s="49">
        <f t="shared" si="56"/>
        <v>151556.6</v>
      </c>
      <c r="AO142" s="49"/>
    </row>
    <row r="143" spans="1:41" s="18" customFormat="1" ht="30.6" x14ac:dyDescent="0.25">
      <c r="A143" s="46">
        <v>28430</v>
      </c>
      <c r="B143" s="45" t="s">
        <v>163</v>
      </c>
      <c r="C143" s="43">
        <v>12267.1</v>
      </c>
      <c r="D143" s="43">
        <f t="shared" si="58"/>
        <v>1022.2583333333333</v>
      </c>
      <c r="E143" s="43">
        <v>629</v>
      </c>
      <c r="F143" s="43">
        <v>732.2</v>
      </c>
      <c r="G143" s="43">
        <f t="shared" si="59"/>
        <v>2858.2343000000001</v>
      </c>
      <c r="H143" s="44">
        <f t="shared" ref="H143:H164" si="66">(E143+F143)/(8725103.2+9421212.6)*100</f>
        <v>7.5012471677584286E-3</v>
      </c>
      <c r="I143" s="43">
        <v>1475.2</v>
      </c>
      <c r="J143" s="43"/>
      <c r="K143" s="43"/>
      <c r="L143" s="43">
        <f t="shared" si="61"/>
        <v>1475.2</v>
      </c>
      <c r="M143" s="43">
        <v>1419.9</v>
      </c>
      <c r="N143" s="43">
        <f t="shared" si="62"/>
        <v>-55.299999999999955</v>
      </c>
      <c r="O143" s="43">
        <f t="shared" ref="O143:O164" si="67">M143/L143*100</f>
        <v>96.251355748373101</v>
      </c>
      <c r="P143" s="43">
        <v>3315.4999999999995</v>
      </c>
      <c r="Q143" s="44">
        <f t="shared" si="64"/>
        <v>1.352733593478426E-2</v>
      </c>
      <c r="R143" s="43">
        <f>6201897*Q143/100</f>
        <v>838.95144151930697</v>
      </c>
      <c r="S143" s="43"/>
      <c r="T143" s="43"/>
      <c r="U143" s="43"/>
      <c r="V143" s="43"/>
      <c r="W143" s="43"/>
      <c r="X143" s="43">
        <f t="shared" si="52"/>
        <v>838.95144151930697</v>
      </c>
      <c r="Y143" s="43">
        <v>954</v>
      </c>
      <c r="Z143" s="43">
        <f t="shared" si="57"/>
        <v>954</v>
      </c>
      <c r="AA143" s="43"/>
      <c r="AB143" s="43"/>
      <c r="AC143" s="43"/>
      <c r="AD143" s="43">
        <f t="shared" si="53"/>
        <v>954</v>
      </c>
      <c r="AE143" s="43">
        <f>1459.7-400</f>
        <v>1059.7</v>
      </c>
      <c r="AF143" s="43">
        <v>150</v>
      </c>
      <c r="AG143" s="43"/>
      <c r="AH143" s="42">
        <f t="shared" si="54"/>
        <v>1209.7</v>
      </c>
      <c r="AI143" s="41">
        <v>1020.4</v>
      </c>
      <c r="AJ143" s="40">
        <v>1097.7</v>
      </c>
      <c r="AK143" s="49">
        <f>1888.9-800</f>
        <v>1088.9000000000001</v>
      </c>
      <c r="AL143" s="39">
        <f t="shared" si="55"/>
        <v>1088.9000000000001</v>
      </c>
      <c r="AM143" s="49">
        <v>113.3</v>
      </c>
      <c r="AN143" s="49">
        <f t="shared" si="56"/>
        <v>1202.2</v>
      </c>
      <c r="AO143" s="49">
        <f>2874.7/3</f>
        <v>958.23333333333323</v>
      </c>
    </row>
    <row r="144" spans="1:41" s="18" customFormat="1" ht="13.2" x14ac:dyDescent="0.25">
      <c r="A144" s="46">
        <v>28110</v>
      </c>
      <c r="B144" s="45" t="s">
        <v>162</v>
      </c>
      <c r="C144" s="43">
        <v>188679.3</v>
      </c>
      <c r="D144" s="43">
        <f t="shared" si="58"/>
        <v>15723.275</v>
      </c>
      <c r="E144" s="43">
        <v>12818.8</v>
      </c>
      <c r="F144" s="43">
        <v>12510.8</v>
      </c>
      <c r="G144" s="43">
        <f t="shared" si="59"/>
        <v>43962.276899999997</v>
      </c>
      <c r="H144" s="44">
        <f t="shared" si="66"/>
        <v>0.13958535869854091</v>
      </c>
      <c r="I144" s="43">
        <v>15317.4</v>
      </c>
      <c r="J144" s="43"/>
      <c r="K144" s="43"/>
      <c r="L144" s="43">
        <f t="shared" si="61"/>
        <v>15317.4</v>
      </c>
      <c r="M144" s="43">
        <v>15317.4</v>
      </c>
      <c r="N144" s="43">
        <f t="shared" si="62"/>
        <v>0</v>
      </c>
      <c r="O144" s="43">
        <f t="shared" si="67"/>
        <v>100</v>
      </c>
      <c r="P144" s="43">
        <v>51262.5</v>
      </c>
      <c r="Q144" s="44">
        <f t="shared" si="64"/>
        <v>0.2091524832926793</v>
      </c>
      <c r="R144" s="43">
        <f>6201897*Q144/100</f>
        <v>12971.421586754177</v>
      </c>
      <c r="S144" s="43"/>
      <c r="T144" s="43"/>
      <c r="U144" s="43"/>
      <c r="V144" s="43"/>
      <c r="W144" s="43"/>
      <c r="X144" s="43">
        <f t="shared" si="52"/>
        <v>12971.421586754177</v>
      </c>
      <c r="Y144" s="43">
        <v>11127</v>
      </c>
      <c r="Z144" s="43">
        <f t="shared" si="57"/>
        <v>11127</v>
      </c>
      <c r="AA144" s="43"/>
      <c r="AB144" s="43"/>
      <c r="AC144" s="43"/>
      <c r="AD144" s="43">
        <f t="shared" si="53"/>
        <v>11127</v>
      </c>
      <c r="AE144" s="42">
        <f>15562.7</f>
        <v>15562.7</v>
      </c>
      <c r="AF144" s="42">
        <v>-900</v>
      </c>
      <c r="AG144" s="42"/>
      <c r="AH144" s="42">
        <f t="shared" si="54"/>
        <v>14662.7</v>
      </c>
      <c r="AI144" s="41">
        <v>14819.3</v>
      </c>
      <c r="AJ144" s="40">
        <v>15750</v>
      </c>
      <c r="AK144" s="49">
        <f>15390.3846153846-2000</f>
        <v>13390.384615384601</v>
      </c>
      <c r="AL144" s="39">
        <f t="shared" si="55"/>
        <v>13390.384615384601</v>
      </c>
      <c r="AM144" s="49"/>
      <c r="AN144" s="49">
        <f t="shared" si="56"/>
        <v>13390.384615384601</v>
      </c>
      <c r="AO144" s="49">
        <f>28669.9/3</f>
        <v>9556.6333333333332</v>
      </c>
    </row>
    <row r="145" spans="1:41" s="18" customFormat="1" ht="13.2" x14ac:dyDescent="0.25">
      <c r="A145" s="46">
        <v>28120</v>
      </c>
      <c r="B145" s="45" t="s">
        <v>161</v>
      </c>
      <c r="C145" s="43">
        <f>75285.4+2150</f>
        <v>77435.399999999994</v>
      </c>
      <c r="D145" s="43">
        <f t="shared" si="58"/>
        <v>6452.95</v>
      </c>
      <c r="E145" s="43">
        <v>2279.6</v>
      </c>
      <c r="F145" s="43">
        <v>2196.4</v>
      </c>
      <c r="G145" s="43">
        <f t="shared" si="59"/>
        <v>18042.448199999999</v>
      </c>
      <c r="H145" s="44">
        <f t="shared" si="66"/>
        <v>2.4666163916314078E-2</v>
      </c>
      <c r="I145" s="43">
        <v>6488.5</v>
      </c>
      <c r="J145" s="43"/>
      <c r="K145" s="43">
        <v>-921.8</v>
      </c>
      <c r="L145" s="43">
        <f t="shared" si="61"/>
        <v>5566.7</v>
      </c>
      <c r="M145" s="43">
        <v>2225</v>
      </c>
      <c r="N145" s="43">
        <f t="shared" si="62"/>
        <v>-3341.7</v>
      </c>
      <c r="O145" s="43">
        <f t="shared" si="67"/>
        <v>39.969820539996768</v>
      </c>
      <c r="P145" s="43">
        <v>22257.5</v>
      </c>
      <c r="Q145" s="44">
        <f t="shared" si="64"/>
        <v>9.0811244026077723E-2</v>
      </c>
      <c r="R145" s="43">
        <f>6201897*Q145/100-3400</f>
        <v>2232.0198189159937</v>
      </c>
      <c r="S145" s="43"/>
      <c r="T145" s="43"/>
      <c r="U145" s="43"/>
      <c r="V145" s="43"/>
      <c r="W145" s="43"/>
      <c r="X145" s="43">
        <f t="shared" si="52"/>
        <v>2232.0198189159937</v>
      </c>
      <c r="Y145" s="43">
        <v>2043</v>
      </c>
      <c r="Z145" s="43">
        <f t="shared" si="57"/>
        <v>2043</v>
      </c>
      <c r="AA145" s="43"/>
      <c r="AB145" s="43"/>
      <c r="AC145" s="43"/>
      <c r="AD145" s="43">
        <f t="shared" si="53"/>
        <v>2043</v>
      </c>
      <c r="AE145" s="43">
        <v>2379.1999999999994</v>
      </c>
      <c r="AF145" s="43"/>
      <c r="AG145" s="43"/>
      <c r="AH145" s="42">
        <f t="shared" si="54"/>
        <v>2379.1999999999994</v>
      </c>
      <c r="AI145" s="41">
        <v>2379.1999999999998</v>
      </c>
      <c r="AJ145" s="40">
        <v>2318.2000000000003</v>
      </c>
      <c r="AK145" s="49">
        <f>3374.31-1000</f>
        <v>2374.31</v>
      </c>
      <c r="AL145" s="39">
        <f t="shared" si="55"/>
        <v>2374.31</v>
      </c>
      <c r="AM145" s="49"/>
      <c r="AN145" s="49">
        <f t="shared" si="56"/>
        <v>2374.31</v>
      </c>
      <c r="AO145" s="49">
        <f>6211.1/3</f>
        <v>2070.3666666666668</v>
      </c>
    </row>
    <row r="146" spans="1:41" s="18" customFormat="1" ht="20.399999999999999" x14ac:dyDescent="0.25">
      <c r="A146" s="46">
        <v>28130</v>
      </c>
      <c r="B146" s="45" t="s">
        <v>160</v>
      </c>
      <c r="C146" s="43">
        <v>18234.7</v>
      </c>
      <c r="D146" s="43">
        <f t="shared" si="58"/>
        <v>1519.5583333333334</v>
      </c>
      <c r="E146" s="43">
        <v>1491.7</v>
      </c>
      <c r="F146" s="43">
        <v>1907.2</v>
      </c>
      <c r="G146" s="43">
        <f t="shared" si="59"/>
        <v>4248.6850999999997</v>
      </c>
      <c r="H146" s="44">
        <f t="shared" si="66"/>
        <v>1.8730523801420894E-2</v>
      </c>
      <c r="I146" s="43">
        <v>639.20000000000005</v>
      </c>
      <c r="J146" s="43"/>
      <c r="K146" s="43">
        <v>921.8</v>
      </c>
      <c r="L146" s="43">
        <f t="shared" si="61"/>
        <v>1561</v>
      </c>
      <c r="M146" s="43">
        <v>1561</v>
      </c>
      <c r="N146" s="43">
        <f t="shared" si="62"/>
        <v>0</v>
      </c>
      <c r="O146" s="43">
        <f t="shared" si="67"/>
        <v>100</v>
      </c>
      <c r="P146" s="43">
        <v>4461.5</v>
      </c>
      <c r="Q146" s="44">
        <f t="shared" si="64"/>
        <v>1.8203049094567932E-2</v>
      </c>
      <c r="R146" s="43">
        <f>6201897*Q146/100+400</f>
        <v>1528.9343557045356</v>
      </c>
      <c r="S146" s="43"/>
      <c r="T146" s="43"/>
      <c r="U146" s="43"/>
      <c r="V146" s="43"/>
      <c r="W146" s="43"/>
      <c r="X146" s="43">
        <f t="shared" si="52"/>
        <v>1528.9343557045356</v>
      </c>
      <c r="Y146" s="43">
        <v>843</v>
      </c>
      <c r="Z146" s="43">
        <f t="shared" si="57"/>
        <v>843</v>
      </c>
      <c r="AA146" s="43">
        <v>644.20000000000005</v>
      </c>
      <c r="AB146" s="43"/>
      <c r="AC146" s="43"/>
      <c r="AD146" s="43">
        <f t="shared" si="53"/>
        <v>1487.2</v>
      </c>
      <c r="AE146" s="43">
        <v>1214.3999999999999</v>
      </c>
      <c r="AF146" s="43">
        <v>700</v>
      </c>
      <c r="AG146" s="43"/>
      <c r="AH146" s="42">
        <f t="shared" si="54"/>
        <v>1914.3999999999999</v>
      </c>
      <c r="AI146" s="41">
        <v>1560.1</v>
      </c>
      <c r="AJ146" s="40">
        <v>1716.8</v>
      </c>
      <c r="AK146" s="49">
        <v>1673</v>
      </c>
      <c r="AL146" s="39">
        <f t="shared" si="55"/>
        <v>1673</v>
      </c>
      <c r="AM146" s="49"/>
      <c r="AN146" s="49">
        <f t="shared" si="56"/>
        <v>1673</v>
      </c>
      <c r="AO146" s="49">
        <f>3050.1/3</f>
        <v>1016.6999999999999</v>
      </c>
    </row>
    <row r="147" spans="1:41" s="18" customFormat="1" ht="13.2" x14ac:dyDescent="0.25">
      <c r="A147" s="46">
        <v>28220</v>
      </c>
      <c r="B147" s="45" t="s">
        <v>159</v>
      </c>
      <c r="C147" s="43">
        <v>14707.4</v>
      </c>
      <c r="D147" s="43">
        <f t="shared" si="58"/>
        <v>1225.6166666666666</v>
      </c>
      <c r="E147" s="43">
        <v>1217.3</v>
      </c>
      <c r="F147" s="43">
        <v>1197.9000000000001</v>
      </c>
      <c r="G147" s="43">
        <f t="shared" si="59"/>
        <v>3426.8242</v>
      </c>
      <c r="H147" s="44">
        <f t="shared" si="66"/>
        <v>1.3309588715523183E-2</v>
      </c>
      <c r="I147" s="43">
        <v>1055.5</v>
      </c>
      <c r="J147" s="43"/>
      <c r="K147" s="43"/>
      <c r="L147" s="43">
        <f t="shared" si="61"/>
        <v>1055.5</v>
      </c>
      <c r="M147" s="43">
        <v>1055.5</v>
      </c>
      <c r="N147" s="43">
        <f t="shared" si="62"/>
        <v>0</v>
      </c>
      <c r="O147" s="43">
        <f t="shared" si="67"/>
        <v>100</v>
      </c>
      <c r="P147" s="43">
        <v>3801.8</v>
      </c>
      <c r="Q147" s="44">
        <f t="shared" si="64"/>
        <v>1.5511454005990893E-2</v>
      </c>
      <c r="R147" s="43">
        <f>6201897*Q147/100</f>
        <v>962.004400653929</v>
      </c>
      <c r="S147" s="43"/>
      <c r="T147" s="43"/>
      <c r="U147" s="43"/>
      <c r="V147" s="43"/>
      <c r="W147" s="43"/>
      <c r="X147" s="43">
        <f t="shared" si="52"/>
        <v>962.004400653929</v>
      </c>
      <c r="Y147" s="43">
        <v>1176</v>
      </c>
      <c r="Z147" s="43">
        <f t="shared" si="57"/>
        <v>1176</v>
      </c>
      <c r="AA147" s="43"/>
      <c r="AB147" s="43"/>
      <c r="AC147" s="43"/>
      <c r="AD147" s="43">
        <f t="shared" si="53"/>
        <v>1176</v>
      </c>
      <c r="AE147" s="43">
        <f>1591.9-300</f>
        <v>1291.9000000000001</v>
      </c>
      <c r="AF147" s="43"/>
      <c r="AG147" s="43"/>
      <c r="AH147" s="42">
        <f t="shared" si="54"/>
        <v>1291.9000000000001</v>
      </c>
      <c r="AI147" s="41">
        <v>1250.5999999999999</v>
      </c>
      <c r="AJ147" s="40">
        <v>1047.5</v>
      </c>
      <c r="AK147" s="49">
        <v>1199.5</v>
      </c>
      <c r="AL147" s="39">
        <f t="shared" si="55"/>
        <v>1199.5</v>
      </c>
      <c r="AM147" s="49"/>
      <c r="AN147" s="49">
        <f t="shared" si="56"/>
        <v>1199.5</v>
      </c>
      <c r="AO147" s="49">
        <f>3565.9/3</f>
        <v>1188.6333333333334</v>
      </c>
    </row>
    <row r="148" spans="1:41" s="18" customFormat="1" ht="13.2" x14ac:dyDescent="0.25">
      <c r="A148" s="48">
        <v>28910</v>
      </c>
      <c r="B148" s="45" t="s">
        <v>158</v>
      </c>
      <c r="C148" s="43">
        <v>22971.3</v>
      </c>
      <c r="D148" s="43">
        <f t="shared" si="58"/>
        <v>1914.2749999999999</v>
      </c>
      <c r="E148" s="43"/>
      <c r="F148" s="43"/>
      <c r="G148" s="43">
        <f t="shared" si="59"/>
        <v>5352.3129000000008</v>
      </c>
      <c r="H148" s="44">
        <f t="shared" si="66"/>
        <v>0</v>
      </c>
      <c r="I148" s="43">
        <v>1300</v>
      </c>
      <c r="J148" s="43"/>
      <c r="K148" s="43"/>
      <c r="L148" s="43">
        <f t="shared" si="61"/>
        <v>1300</v>
      </c>
      <c r="M148" s="43">
        <v>1300</v>
      </c>
      <c r="N148" s="43">
        <f t="shared" si="62"/>
        <v>0</v>
      </c>
      <c r="O148" s="43">
        <f t="shared" si="67"/>
        <v>100</v>
      </c>
      <c r="P148" s="43">
        <v>2500</v>
      </c>
      <c r="Q148" s="44">
        <f t="shared" si="64"/>
        <v>1.0200072338097015E-2</v>
      </c>
      <c r="R148" s="43">
        <f>6201897*Q148/100-632.6</f>
        <v>-2.0196657313817923E-3</v>
      </c>
      <c r="S148" s="43"/>
      <c r="T148" s="43"/>
      <c r="U148" s="43">
        <v>1240</v>
      </c>
      <c r="V148" s="43"/>
      <c r="W148" s="43"/>
      <c r="X148" s="43">
        <f t="shared" si="52"/>
        <v>1239.9979803342685</v>
      </c>
      <c r="Y148" s="43"/>
      <c r="Z148" s="43">
        <f t="shared" si="57"/>
        <v>0</v>
      </c>
      <c r="AA148" s="43"/>
      <c r="AB148" s="43"/>
      <c r="AC148" s="43">
        <v>780</v>
      </c>
      <c r="AD148" s="43">
        <f t="shared" si="53"/>
        <v>780</v>
      </c>
      <c r="AE148" s="43"/>
      <c r="AF148" s="43"/>
      <c r="AG148" s="43"/>
      <c r="AH148" s="42">
        <f t="shared" si="54"/>
        <v>0</v>
      </c>
      <c r="AI148" s="41">
        <f>2880</f>
        <v>2880</v>
      </c>
      <c r="AJ148" s="40">
        <v>0</v>
      </c>
      <c r="AK148" s="49">
        <v>400</v>
      </c>
      <c r="AL148" s="39">
        <f t="shared" si="55"/>
        <v>400</v>
      </c>
      <c r="AM148" s="49"/>
      <c r="AN148" s="49">
        <f t="shared" si="56"/>
        <v>400</v>
      </c>
      <c r="AO148" s="49"/>
    </row>
    <row r="149" spans="1:41" s="18" customFormat="1" ht="13.2" x14ac:dyDescent="0.25">
      <c r="A149" s="46">
        <v>29110</v>
      </c>
      <c r="B149" s="45" t="s">
        <v>157</v>
      </c>
      <c r="C149" s="43">
        <v>50496.5</v>
      </c>
      <c r="D149" s="43">
        <f t="shared" si="58"/>
        <v>4208.041666666667</v>
      </c>
      <c r="E149" s="43">
        <v>2120.1</v>
      </c>
      <c r="F149" s="43">
        <v>3976.1</v>
      </c>
      <c r="G149" s="43">
        <f t="shared" si="59"/>
        <v>11765.684499999999</v>
      </c>
      <c r="H149" s="44">
        <f t="shared" si="66"/>
        <v>3.3594698048845822E-2</v>
      </c>
      <c r="I149" s="43">
        <v>5809.3</v>
      </c>
      <c r="J149" s="43"/>
      <c r="K149" s="43"/>
      <c r="L149" s="43">
        <f t="shared" si="61"/>
        <v>5809.3</v>
      </c>
      <c r="M149" s="43">
        <v>4338.6000000000004</v>
      </c>
      <c r="N149" s="43">
        <f t="shared" si="62"/>
        <v>-1470.6999999999998</v>
      </c>
      <c r="O149" s="43">
        <f t="shared" si="67"/>
        <v>74.683696830943489</v>
      </c>
      <c r="P149" s="43">
        <v>12919.400000000001</v>
      </c>
      <c r="Q149" s="44">
        <f t="shared" si="64"/>
        <v>5.2711525825924241E-2</v>
      </c>
      <c r="R149" s="43">
        <f>6201897*Q149/100</f>
        <v>3269.1145388522209</v>
      </c>
      <c r="S149" s="43"/>
      <c r="T149" s="43"/>
      <c r="U149" s="43"/>
      <c r="V149" s="43"/>
      <c r="W149" s="43"/>
      <c r="X149" s="43">
        <f t="shared" si="52"/>
        <v>3269.1145388522209</v>
      </c>
      <c r="Y149" s="43">
        <v>4306.5</v>
      </c>
      <c r="Z149" s="43">
        <f t="shared" si="57"/>
        <v>4306.5</v>
      </c>
      <c r="AA149" s="43"/>
      <c r="AB149" s="43"/>
      <c r="AC149" s="43"/>
      <c r="AD149" s="43">
        <f t="shared" si="53"/>
        <v>4306.5</v>
      </c>
      <c r="AE149" s="43">
        <f>7050.7-2500</f>
        <v>4550.7</v>
      </c>
      <c r="AF149" s="43"/>
      <c r="AG149" s="43"/>
      <c r="AH149" s="42">
        <f t="shared" si="54"/>
        <v>4550.7</v>
      </c>
      <c r="AI149" s="41">
        <v>4550.7</v>
      </c>
      <c r="AJ149" s="40">
        <v>4472.3</v>
      </c>
      <c r="AK149" s="49">
        <f>5011.9-1000</f>
        <v>4011.8999999999996</v>
      </c>
      <c r="AL149" s="39">
        <f t="shared" si="55"/>
        <v>4011.8999999999996</v>
      </c>
      <c r="AM149" s="49"/>
      <c r="AN149" s="49">
        <f t="shared" si="56"/>
        <v>4011.8999999999996</v>
      </c>
      <c r="AO149" s="49">
        <f>13136.7/3</f>
        <v>4378.9000000000005</v>
      </c>
    </row>
    <row r="150" spans="1:41" s="18" customFormat="1" ht="13.2" x14ac:dyDescent="0.25">
      <c r="A150" s="46">
        <v>29120</v>
      </c>
      <c r="B150" s="45" t="s">
        <v>156</v>
      </c>
      <c r="C150" s="43">
        <f>568246.2+1140.7</f>
        <v>569386.89999999991</v>
      </c>
      <c r="D150" s="43">
        <f t="shared" si="58"/>
        <v>47448.908333333326</v>
      </c>
      <c r="E150" s="43">
        <v>34728.1</v>
      </c>
      <c r="F150" s="43">
        <v>33847.300000000003</v>
      </c>
      <c r="G150" s="43">
        <f t="shared" si="59"/>
        <v>132667.14769999997</v>
      </c>
      <c r="H150" s="44">
        <f t="shared" si="66"/>
        <v>0.3779026043402155</v>
      </c>
      <c r="I150" s="43">
        <v>48158</v>
      </c>
      <c r="J150" s="43"/>
      <c r="K150" s="43"/>
      <c r="L150" s="43">
        <f t="shared" si="61"/>
        <v>48158</v>
      </c>
      <c r="M150" s="43">
        <v>31027</v>
      </c>
      <c r="N150" s="43">
        <f t="shared" si="62"/>
        <v>-17131</v>
      </c>
      <c r="O150" s="43">
        <f t="shared" si="67"/>
        <v>64.427509448066772</v>
      </c>
      <c r="P150" s="43">
        <v>160642.00000000003</v>
      </c>
      <c r="Q150" s="44">
        <f t="shared" si="64"/>
        <v>0.65542400821463243</v>
      </c>
      <c r="R150" s="43">
        <f>6201897*Q150/100-5000</f>
        <v>35648.72190274304</v>
      </c>
      <c r="S150" s="43">
        <v>4056.4</v>
      </c>
      <c r="T150" s="43"/>
      <c r="U150" s="43"/>
      <c r="V150" s="43"/>
      <c r="W150" s="43"/>
      <c r="X150" s="43">
        <f t="shared" si="52"/>
        <v>39705.121902743042</v>
      </c>
      <c r="Y150" s="43">
        <v>34943.1</v>
      </c>
      <c r="Z150" s="43">
        <f t="shared" si="57"/>
        <v>34943.1</v>
      </c>
      <c r="AA150" s="43"/>
      <c r="AB150" s="43"/>
      <c r="AC150" s="43">
        <v>8621.9</v>
      </c>
      <c r="AD150" s="43">
        <f t="shared" si="53"/>
        <v>43565</v>
      </c>
      <c r="AE150" s="43">
        <f>64647.3-20000</f>
        <v>44647.3</v>
      </c>
      <c r="AF150" s="43"/>
      <c r="AG150" s="43"/>
      <c r="AH150" s="42">
        <f t="shared" si="54"/>
        <v>44647.3</v>
      </c>
      <c r="AI150" s="41">
        <v>44600</v>
      </c>
      <c r="AJ150" s="40">
        <v>49738.8</v>
      </c>
      <c r="AK150" s="49">
        <f>56150.6-10000</f>
        <v>46150.6</v>
      </c>
      <c r="AL150" s="39">
        <f t="shared" si="55"/>
        <v>46150.6</v>
      </c>
      <c r="AM150" s="49"/>
      <c r="AN150" s="49">
        <f t="shared" si="56"/>
        <v>46150.6</v>
      </c>
      <c r="AO150" s="49">
        <f>110259/3</f>
        <v>36753</v>
      </c>
    </row>
    <row r="151" spans="1:41" s="18" customFormat="1" ht="20.399999999999999" x14ac:dyDescent="0.25">
      <c r="A151" s="46">
        <v>30110</v>
      </c>
      <c r="B151" s="45" t="s">
        <v>155</v>
      </c>
      <c r="C151" s="43">
        <v>25917.5</v>
      </c>
      <c r="D151" s="43">
        <f t="shared" si="58"/>
        <v>2159.7916666666665</v>
      </c>
      <c r="E151" s="43">
        <v>2073.6</v>
      </c>
      <c r="F151" s="43">
        <v>2202.9</v>
      </c>
      <c r="G151" s="43">
        <f t="shared" si="59"/>
        <v>6038.7775000000001</v>
      </c>
      <c r="H151" s="44">
        <f t="shared" si="66"/>
        <v>2.3566767200204907E-2</v>
      </c>
      <c r="I151" s="43">
        <v>1880.6</v>
      </c>
      <c r="J151" s="43"/>
      <c r="K151" s="43"/>
      <c r="L151" s="43">
        <f t="shared" si="61"/>
        <v>1880.6</v>
      </c>
      <c r="M151" s="43">
        <v>1880.6</v>
      </c>
      <c r="N151" s="43">
        <f t="shared" si="62"/>
        <v>0</v>
      </c>
      <c r="O151" s="43">
        <f t="shared" si="67"/>
        <v>100</v>
      </c>
      <c r="P151" s="43">
        <v>6724.4</v>
      </c>
      <c r="Q151" s="44">
        <f t="shared" si="64"/>
        <v>2.7435746572119828E-2</v>
      </c>
      <c r="R151" s="43">
        <f>6201897*Q151/100+300</f>
        <v>2001.5367435839025</v>
      </c>
      <c r="S151" s="43"/>
      <c r="T151" s="43"/>
      <c r="U151" s="43"/>
      <c r="V151" s="43"/>
      <c r="W151" s="43"/>
      <c r="X151" s="43">
        <f t="shared" si="52"/>
        <v>2001.5367435839025</v>
      </c>
      <c r="Y151" s="43">
        <v>2241.4</v>
      </c>
      <c r="Z151" s="43">
        <f t="shared" si="57"/>
        <v>2241.4</v>
      </c>
      <c r="AA151" s="43"/>
      <c r="AB151" s="43"/>
      <c r="AC151" s="43"/>
      <c r="AD151" s="43">
        <f t="shared" si="53"/>
        <v>2241.4</v>
      </c>
      <c r="AE151" s="43">
        <v>2481.5</v>
      </c>
      <c r="AF151" s="43"/>
      <c r="AG151" s="43"/>
      <c r="AH151" s="42">
        <f t="shared" si="54"/>
        <v>2481.5</v>
      </c>
      <c r="AI151" s="41">
        <v>2098.6999999999998</v>
      </c>
      <c r="AJ151" s="40">
        <v>2098.6999999999998</v>
      </c>
      <c r="AK151" s="49">
        <v>2098.6999999999998</v>
      </c>
      <c r="AL151" s="39">
        <f t="shared" si="55"/>
        <v>2098.6999999999998</v>
      </c>
      <c r="AM151" s="49"/>
      <c r="AN151" s="49">
        <f t="shared" si="56"/>
        <v>2098.6999999999998</v>
      </c>
      <c r="AO151" s="49">
        <f>6739.9/3</f>
        <v>2246.6333333333332</v>
      </c>
    </row>
    <row r="152" spans="1:41" s="18" customFormat="1" ht="20.399999999999999" x14ac:dyDescent="0.25">
      <c r="A152" s="46">
        <v>30120</v>
      </c>
      <c r="B152" s="45" t="s">
        <v>154</v>
      </c>
      <c r="C152" s="43">
        <f>1598012+105476.3+63853.5</f>
        <v>1767341.8</v>
      </c>
      <c r="D152" s="43">
        <f t="shared" si="58"/>
        <v>147278.48333333334</v>
      </c>
      <c r="E152" s="43">
        <v>125355.6</v>
      </c>
      <c r="F152" s="43">
        <v>136825.79999999999</v>
      </c>
      <c r="G152" s="43">
        <f t="shared" si="59"/>
        <v>411790.63940000004</v>
      </c>
      <c r="H152" s="44">
        <f t="shared" si="66"/>
        <v>1.4448188981699528</v>
      </c>
      <c r="I152" s="43">
        <v>323461.40000000002</v>
      </c>
      <c r="J152" s="43"/>
      <c r="K152" s="43"/>
      <c r="L152" s="43">
        <f t="shared" si="61"/>
        <v>323461.40000000002</v>
      </c>
      <c r="M152" s="43">
        <v>323461.40000000002</v>
      </c>
      <c r="N152" s="43">
        <f t="shared" si="62"/>
        <v>0</v>
      </c>
      <c r="O152" s="43">
        <f t="shared" si="67"/>
        <v>100</v>
      </c>
      <c r="P152" s="43">
        <v>399727.89999999991</v>
      </c>
      <c r="Q152" s="44">
        <f t="shared" si="64"/>
        <v>1.6309013982222436</v>
      </c>
      <c r="R152" s="43">
        <f>6201897*Q152/100</f>
        <v>101146.82488930337</v>
      </c>
      <c r="S152" s="43">
        <v>100000</v>
      </c>
      <c r="T152" s="43"/>
      <c r="U152" s="43"/>
      <c r="V152" s="43"/>
      <c r="W152" s="43"/>
      <c r="X152" s="43">
        <f t="shared" si="52"/>
        <v>201146.82488930336</v>
      </c>
      <c r="Y152" s="43">
        <v>129426.9</v>
      </c>
      <c r="Z152" s="43">
        <f t="shared" si="57"/>
        <v>129426.9</v>
      </c>
      <c r="AA152" s="43"/>
      <c r="AB152" s="43"/>
      <c r="AC152" s="43"/>
      <c r="AD152" s="43">
        <f t="shared" si="53"/>
        <v>129426.9</v>
      </c>
      <c r="AE152" s="43">
        <f>152480.7-12000</f>
        <v>140480.70000000001</v>
      </c>
      <c r="AF152" s="43">
        <f>20000</f>
        <v>20000</v>
      </c>
      <c r="AG152" s="43"/>
      <c r="AH152" s="42">
        <f t="shared" si="54"/>
        <v>160480.70000000001</v>
      </c>
      <c r="AI152" s="41">
        <f>130957.4+10000+28000</f>
        <v>168957.4</v>
      </c>
      <c r="AJ152" s="40">
        <v>332506.2</v>
      </c>
      <c r="AK152" s="49">
        <f>159034.696-30000</f>
        <v>129034.696</v>
      </c>
      <c r="AL152" s="39">
        <f t="shared" si="55"/>
        <v>129034.696</v>
      </c>
      <c r="AM152" s="49"/>
      <c r="AN152" s="49">
        <f t="shared" si="56"/>
        <v>129034.696</v>
      </c>
      <c r="AO152" s="49">
        <f>372466.6/3</f>
        <v>124155.53333333333</v>
      </c>
    </row>
    <row r="153" spans="1:41" s="18" customFormat="1" ht="13.2" x14ac:dyDescent="0.25">
      <c r="A153" s="46">
        <v>31110</v>
      </c>
      <c r="B153" s="45" t="s">
        <v>153</v>
      </c>
      <c r="C153" s="43">
        <v>23165.9</v>
      </c>
      <c r="D153" s="43">
        <f t="shared" si="58"/>
        <v>1930.4916666666668</v>
      </c>
      <c r="E153" s="43">
        <v>1880.8</v>
      </c>
      <c r="F153" s="43">
        <v>2222.6999999999998</v>
      </c>
      <c r="G153" s="43">
        <f t="shared" si="59"/>
        <v>5397.654700000001</v>
      </c>
      <c r="H153" s="44">
        <f t="shared" si="66"/>
        <v>2.2613405636862115E-2</v>
      </c>
      <c r="I153" s="43">
        <v>1628.8</v>
      </c>
      <c r="J153" s="43"/>
      <c r="K153" s="43"/>
      <c r="L153" s="43">
        <f t="shared" si="61"/>
        <v>1628.8</v>
      </c>
      <c r="M153" s="43">
        <v>1628.8</v>
      </c>
      <c r="N153" s="43">
        <f t="shared" si="62"/>
        <v>0</v>
      </c>
      <c r="O153" s="43">
        <f t="shared" si="67"/>
        <v>100</v>
      </c>
      <c r="P153" s="43">
        <v>6057.3</v>
      </c>
      <c r="Q153" s="44">
        <f t="shared" si="64"/>
        <v>2.471395926942202E-2</v>
      </c>
      <c r="R153" s="43">
        <f>6201897*Q153/100</f>
        <v>1532.734298511506</v>
      </c>
      <c r="S153" s="43">
        <v>486</v>
      </c>
      <c r="T153" s="43"/>
      <c r="U153" s="43"/>
      <c r="V153" s="43"/>
      <c r="W153" s="43"/>
      <c r="X153" s="43">
        <f t="shared" si="52"/>
        <v>2018.734298511506</v>
      </c>
      <c r="Y153" s="43">
        <v>1786</v>
      </c>
      <c r="Z153" s="43">
        <f t="shared" si="57"/>
        <v>1786</v>
      </c>
      <c r="AA153" s="43"/>
      <c r="AB153" s="43"/>
      <c r="AC153" s="43"/>
      <c r="AD153" s="43">
        <f t="shared" si="53"/>
        <v>1786</v>
      </c>
      <c r="AE153" s="43">
        <v>2008.6</v>
      </c>
      <c r="AF153" s="43"/>
      <c r="AG153" s="43"/>
      <c r="AH153" s="42">
        <f t="shared" si="54"/>
        <v>2008.6</v>
      </c>
      <c r="AI153" s="41">
        <v>1871.9</v>
      </c>
      <c r="AJ153" s="40">
        <v>1761.1</v>
      </c>
      <c r="AK153" s="49">
        <v>2024.2</v>
      </c>
      <c r="AL153" s="39">
        <f t="shared" si="55"/>
        <v>2024.2</v>
      </c>
      <c r="AM153" s="49"/>
      <c r="AN153" s="49">
        <f t="shared" si="56"/>
        <v>2024.2</v>
      </c>
      <c r="AO153" s="49">
        <f>5369.3/3</f>
        <v>1789.7666666666667</v>
      </c>
    </row>
    <row r="154" spans="1:41" s="18" customFormat="1" ht="20.399999999999999" x14ac:dyDescent="0.25">
      <c r="A154" s="46">
        <v>32120</v>
      </c>
      <c r="B154" s="45" t="s">
        <v>152</v>
      </c>
      <c r="C154" s="43">
        <f>970184.3+3662.5+114496.7</f>
        <v>1088343.5</v>
      </c>
      <c r="D154" s="43">
        <f t="shared" si="58"/>
        <v>90695.291666666672</v>
      </c>
      <c r="E154" s="43">
        <v>99771</v>
      </c>
      <c r="F154" s="43">
        <v>110329.1</v>
      </c>
      <c r="G154" s="43">
        <f t="shared" si="59"/>
        <v>253584.0355</v>
      </c>
      <c r="H154" s="44">
        <f t="shared" si="66"/>
        <v>1.1578113282917739</v>
      </c>
      <c r="I154" s="43">
        <v>108181</v>
      </c>
      <c r="J154" s="43"/>
      <c r="K154" s="43"/>
      <c r="L154" s="43">
        <f t="shared" si="61"/>
        <v>108181</v>
      </c>
      <c r="M154" s="43">
        <v>96763.3</v>
      </c>
      <c r="N154" s="43">
        <f t="shared" si="62"/>
        <v>-11417.699999999997</v>
      </c>
      <c r="O154" s="43">
        <f t="shared" si="67"/>
        <v>89.445743707305354</v>
      </c>
      <c r="P154" s="43">
        <v>277561</v>
      </c>
      <c r="Q154" s="44">
        <f t="shared" si="64"/>
        <v>1.1324569112938183</v>
      </c>
      <c r="R154" s="43">
        <f>6201897*Q154/100+25000</f>
        <v>95233.811207823979</v>
      </c>
      <c r="S154" s="43"/>
      <c r="T154" s="43"/>
      <c r="U154" s="43"/>
      <c r="V154" s="43"/>
      <c r="W154" s="43"/>
      <c r="X154" s="43">
        <f t="shared" si="52"/>
        <v>95233.811207823979</v>
      </c>
      <c r="Y154" s="43">
        <v>78213</v>
      </c>
      <c r="Z154" s="43">
        <f t="shared" si="57"/>
        <v>78213</v>
      </c>
      <c r="AA154" s="43"/>
      <c r="AB154" s="43">
        <v>22000</v>
      </c>
      <c r="AC154" s="43"/>
      <c r="AD154" s="43">
        <f t="shared" si="53"/>
        <v>100213</v>
      </c>
      <c r="AE154" s="43">
        <v>93245.3</v>
      </c>
      <c r="AF154" s="43"/>
      <c r="AG154" s="43"/>
      <c r="AH154" s="42">
        <f t="shared" si="54"/>
        <v>93245.3</v>
      </c>
      <c r="AI154" s="41">
        <f>93240+5000</f>
        <v>98240</v>
      </c>
      <c r="AJ154" s="40">
        <v>137195.79999999999</v>
      </c>
      <c r="AK154" s="49">
        <f>134845.916666667-40000</f>
        <v>94845.916666667006</v>
      </c>
      <c r="AL154" s="39">
        <f t="shared" si="55"/>
        <v>94845.916666667006</v>
      </c>
      <c r="AM154" s="49"/>
      <c r="AN154" s="49">
        <f t="shared" si="56"/>
        <v>94845.916666667006</v>
      </c>
      <c r="AO154" s="49">
        <f>259147.6/3</f>
        <v>86382.53333333334</v>
      </c>
    </row>
    <row r="155" spans="1:41" s="18" customFormat="1" ht="36" customHeight="1" x14ac:dyDescent="0.25">
      <c r="A155" s="46">
        <v>32320</v>
      </c>
      <c r="B155" s="45" t="s">
        <v>151</v>
      </c>
      <c r="C155" s="43">
        <v>194210.4</v>
      </c>
      <c r="D155" s="43">
        <f t="shared" si="58"/>
        <v>16184.199999999999</v>
      </c>
      <c r="E155" s="43">
        <v>13803.3</v>
      </c>
      <c r="F155" s="43">
        <v>16516.599999999999</v>
      </c>
      <c r="G155" s="43">
        <f t="shared" si="59"/>
        <v>45251.023200000003</v>
      </c>
      <c r="H155" s="44">
        <f t="shared" si="66"/>
        <v>0.16708570673061912</v>
      </c>
      <c r="I155" s="43">
        <v>13048.4</v>
      </c>
      <c r="J155" s="43"/>
      <c r="K155" s="43">
        <v>3740</v>
      </c>
      <c r="L155" s="43">
        <f t="shared" si="61"/>
        <v>16788.400000000001</v>
      </c>
      <c r="M155" s="43">
        <v>16780</v>
      </c>
      <c r="N155" s="43">
        <f t="shared" si="62"/>
        <v>-8.4000000000014552</v>
      </c>
      <c r="O155" s="43">
        <f t="shared" si="67"/>
        <v>99.94996545233613</v>
      </c>
      <c r="P155" s="43">
        <v>51596.7</v>
      </c>
      <c r="Q155" s="44">
        <f t="shared" si="64"/>
        <v>0.21051602896283608</v>
      </c>
      <c r="R155" s="43">
        <f>6201897*Q155/100+1000</f>
        <v>14055.987284765262</v>
      </c>
      <c r="S155" s="43"/>
      <c r="T155" s="43"/>
      <c r="U155" s="43"/>
      <c r="V155" s="43"/>
      <c r="W155" s="43"/>
      <c r="X155" s="43">
        <f t="shared" si="52"/>
        <v>14055.987284765262</v>
      </c>
      <c r="Y155" s="43">
        <v>14338</v>
      </c>
      <c r="Z155" s="43">
        <f t="shared" si="57"/>
        <v>14338</v>
      </c>
      <c r="AA155" s="43"/>
      <c r="AB155" s="43"/>
      <c r="AC155" s="43"/>
      <c r="AD155" s="43">
        <f t="shared" si="53"/>
        <v>14338</v>
      </c>
      <c r="AE155" s="43">
        <f>23879.2-7000</f>
        <v>16879.2</v>
      </c>
      <c r="AF155" s="43"/>
      <c r="AG155" s="43"/>
      <c r="AH155" s="42">
        <f t="shared" si="54"/>
        <v>16879.2</v>
      </c>
      <c r="AI155" s="41">
        <v>16866.3</v>
      </c>
      <c r="AJ155" s="40">
        <v>19289.900000000001</v>
      </c>
      <c r="AK155" s="49">
        <f>19528.2727272727-3000</f>
        <v>16528.272727272699</v>
      </c>
      <c r="AL155" s="39">
        <f t="shared" si="55"/>
        <v>16528.272727272699</v>
      </c>
      <c r="AM155" s="49"/>
      <c r="AN155" s="49">
        <f t="shared" si="56"/>
        <v>16528.272727272699</v>
      </c>
      <c r="AO155" s="49">
        <f>37941.49/3</f>
        <v>12647.163333333332</v>
      </c>
    </row>
    <row r="156" spans="1:41" s="18" customFormat="1" ht="13.2" x14ac:dyDescent="0.25">
      <c r="A156" s="46">
        <v>33110</v>
      </c>
      <c r="B156" s="45" t="s">
        <v>150</v>
      </c>
      <c r="C156" s="43">
        <v>715174.2</v>
      </c>
      <c r="D156" s="43">
        <f t="shared" si="58"/>
        <v>59597.85</v>
      </c>
      <c r="E156" s="43">
        <v>51415</v>
      </c>
      <c r="F156" s="43">
        <v>76590.5</v>
      </c>
      <c r="G156" s="43">
        <f t="shared" si="59"/>
        <v>166635.58859999999</v>
      </c>
      <c r="H156" s="44">
        <f t="shared" si="66"/>
        <v>0.70540765084668056</v>
      </c>
      <c r="I156" s="43">
        <v>51892</v>
      </c>
      <c r="J156" s="43"/>
      <c r="K156" s="43"/>
      <c r="L156" s="43">
        <f t="shared" si="61"/>
        <v>51892</v>
      </c>
      <c r="M156" s="43">
        <v>46919.9</v>
      </c>
      <c r="N156" s="43">
        <f t="shared" si="62"/>
        <v>-4972.0999999999985</v>
      </c>
      <c r="O156" s="43">
        <f t="shared" si="67"/>
        <v>90.418368920064751</v>
      </c>
      <c r="P156" s="43">
        <v>186639.09999999998</v>
      </c>
      <c r="Q156" s="44">
        <f t="shared" si="64"/>
        <v>0.76149292844692895</v>
      </c>
      <c r="R156" s="43">
        <f>6201897*Q156/100</f>
        <v>47227.007084562232</v>
      </c>
      <c r="S156" s="43">
        <f>22893.4+230000</f>
        <v>252893.4</v>
      </c>
      <c r="T156" s="43"/>
      <c r="U156" s="43"/>
      <c r="V156" s="43"/>
      <c r="W156" s="43"/>
      <c r="X156" s="43">
        <f t="shared" si="52"/>
        <v>300120.40708456223</v>
      </c>
      <c r="Y156" s="43">
        <v>39981.599999999999</v>
      </c>
      <c r="Z156" s="43">
        <f t="shared" si="57"/>
        <v>39981.599999999999</v>
      </c>
      <c r="AA156" s="43">
        <v>65200</v>
      </c>
      <c r="AB156" s="43"/>
      <c r="AC156" s="43"/>
      <c r="AD156" s="43">
        <f t="shared" si="53"/>
        <v>105181.6</v>
      </c>
      <c r="AE156" s="43">
        <v>39991.199999999997</v>
      </c>
      <c r="AF156" s="43"/>
      <c r="AG156" s="42">
        <f>20424.8+35000</f>
        <v>55424.800000000003</v>
      </c>
      <c r="AH156" s="42">
        <f t="shared" si="54"/>
        <v>95416</v>
      </c>
      <c r="AI156" s="41">
        <v>68561.3</v>
      </c>
      <c r="AJ156" s="40">
        <v>293492.7</v>
      </c>
      <c r="AK156" s="49">
        <f>160837.1-100000</f>
        <v>60837.100000000006</v>
      </c>
      <c r="AL156" s="39">
        <f t="shared" si="55"/>
        <v>60837.100000000006</v>
      </c>
      <c r="AM156" s="49"/>
      <c r="AN156" s="49">
        <f t="shared" si="56"/>
        <v>60837.100000000006</v>
      </c>
      <c r="AO156" s="114">
        <f>113423/3</f>
        <v>37807.666666666664</v>
      </c>
    </row>
    <row r="157" spans="1:41" s="18" customFormat="1" ht="12.75" customHeight="1" x14ac:dyDescent="0.25">
      <c r="A157" s="46">
        <v>33120</v>
      </c>
      <c r="B157" s="45" t="s">
        <v>149</v>
      </c>
      <c r="C157" s="43">
        <f>2630082.1+31654.6+59765.2</f>
        <v>2721501.9000000004</v>
      </c>
      <c r="D157" s="43">
        <f t="shared" si="58"/>
        <v>226791.82500000004</v>
      </c>
      <c r="E157" s="43">
        <v>221378.8</v>
      </c>
      <c r="F157" s="43">
        <v>221501.3</v>
      </c>
      <c r="G157" s="43">
        <f t="shared" si="59"/>
        <v>634109.94270000013</v>
      </c>
      <c r="H157" s="44">
        <f t="shared" si="66"/>
        <v>2.440606153233595</v>
      </c>
      <c r="I157" s="43">
        <v>190047.3</v>
      </c>
      <c r="J157" s="43"/>
      <c r="K157" s="43"/>
      <c r="L157" s="43">
        <f t="shared" si="61"/>
        <v>190047.3</v>
      </c>
      <c r="M157" s="43">
        <v>189017.7</v>
      </c>
      <c r="N157" s="43">
        <f t="shared" si="62"/>
        <v>-1029.5999999999767</v>
      </c>
      <c r="O157" s="43">
        <f t="shared" si="67"/>
        <v>99.458240132851145</v>
      </c>
      <c r="P157" s="43">
        <v>712807.29999999993</v>
      </c>
      <c r="Q157" s="44">
        <f t="shared" si="64"/>
        <v>2.9082744092494481</v>
      </c>
      <c r="R157" s="43">
        <f>6201897*Q157/100+10000</f>
        <v>190368.18333900924</v>
      </c>
      <c r="S157" s="43">
        <v>47577.2</v>
      </c>
      <c r="T157" s="43"/>
      <c r="U157" s="43"/>
      <c r="V157" s="43"/>
      <c r="W157" s="43"/>
      <c r="X157" s="43">
        <f t="shared" si="52"/>
        <v>237945.38333900925</v>
      </c>
      <c r="Y157" s="43">
        <v>219466.6</v>
      </c>
      <c r="Z157" s="43">
        <f t="shared" si="57"/>
        <v>219466.6</v>
      </c>
      <c r="AA157" s="43"/>
      <c r="AB157" s="43"/>
      <c r="AC157" s="43"/>
      <c r="AD157" s="43">
        <f t="shared" si="53"/>
        <v>219466.6</v>
      </c>
      <c r="AE157" s="43">
        <v>213966.6</v>
      </c>
      <c r="AF157" s="43"/>
      <c r="AG157" s="42">
        <f>36408.3</f>
        <v>36408.300000000003</v>
      </c>
      <c r="AH157" s="42">
        <f t="shared" si="54"/>
        <v>250374.90000000002</v>
      </c>
      <c r="AI157" s="41">
        <f>217363.5-28897.5</f>
        <v>188466</v>
      </c>
      <c r="AJ157" s="40">
        <v>205663.5</v>
      </c>
      <c r="AK157" s="49">
        <f>224609-5000</f>
        <v>219609</v>
      </c>
      <c r="AL157" s="39">
        <f t="shared" si="55"/>
        <v>219609</v>
      </c>
      <c r="AM157" s="49"/>
      <c r="AN157" s="49">
        <f t="shared" si="56"/>
        <v>219609</v>
      </c>
      <c r="AO157" s="49">
        <f>643807.1/3</f>
        <v>214602.36666666667</v>
      </c>
    </row>
    <row r="158" spans="1:41" s="18" customFormat="1" ht="13.5" customHeight="1" x14ac:dyDescent="0.25">
      <c r="A158" s="46">
        <v>33130</v>
      </c>
      <c r="B158" s="45" t="s">
        <v>148</v>
      </c>
      <c r="C158" s="43">
        <v>197318.8</v>
      </c>
      <c r="D158" s="43">
        <f t="shared" si="58"/>
        <v>16443.233333333334</v>
      </c>
      <c r="E158" s="43">
        <v>35134.400000000001</v>
      </c>
      <c r="F158" s="43">
        <v>19308.400000000001</v>
      </c>
      <c r="G158" s="43">
        <f t="shared" si="59"/>
        <v>45975.280400000003</v>
      </c>
      <c r="H158" s="44">
        <f t="shared" si="66"/>
        <v>0.30002123075583209</v>
      </c>
      <c r="I158" s="43">
        <v>18823.5</v>
      </c>
      <c r="J158" s="43">
        <v>2000</v>
      </c>
      <c r="K158" s="43"/>
      <c r="L158" s="43">
        <f t="shared" si="61"/>
        <v>20823.5</v>
      </c>
      <c r="M158" s="43">
        <v>20823.5</v>
      </c>
      <c r="N158" s="43">
        <f t="shared" si="62"/>
        <v>0</v>
      </c>
      <c r="O158" s="43">
        <f t="shared" si="67"/>
        <v>100</v>
      </c>
      <c r="P158" s="43">
        <v>58628.3</v>
      </c>
      <c r="Q158" s="44">
        <f t="shared" si="64"/>
        <v>0.23920516042386131</v>
      </c>
      <c r="R158" s="43">
        <f>6201897*Q158/100+5000</f>
        <v>19835.257668172642</v>
      </c>
      <c r="S158" s="43"/>
      <c r="T158" s="43">
        <v>16000</v>
      </c>
      <c r="U158" s="43"/>
      <c r="V158" s="43"/>
      <c r="W158" s="43"/>
      <c r="X158" s="43">
        <f t="shared" si="52"/>
        <v>35835.257668172642</v>
      </c>
      <c r="Y158" s="43">
        <v>23513.100000000002</v>
      </c>
      <c r="Z158" s="43">
        <f t="shared" si="57"/>
        <v>23513.100000000002</v>
      </c>
      <c r="AA158" s="43"/>
      <c r="AB158" s="43"/>
      <c r="AC158" s="43">
        <v>15300</v>
      </c>
      <c r="AD158" s="43">
        <f t="shared" si="53"/>
        <v>38813.100000000006</v>
      </c>
      <c r="AE158" s="43">
        <v>18330</v>
      </c>
      <c r="AF158" s="43">
        <v>22500</v>
      </c>
      <c r="AG158" s="43">
        <v>9766.9</v>
      </c>
      <c r="AH158" s="42">
        <f t="shared" si="54"/>
        <v>50596.9</v>
      </c>
      <c r="AI158" s="41">
        <f>23724.6+28897.5</f>
        <v>52622.1</v>
      </c>
      <c r="AJ158" s="40">
        <v>76920</v>
      </c>
      <c r="AK158" s="49">
        <f>37257.5-10000</f>
        <v>27257.5</v>
      </c>
      <c r="AL158" s="39">
        <f t="shared" si="55"/>
        <v>27257.5</v>
      </c>
      <c r="AM158" s="49">
        <f>10000+15769.6</f>
        <v>25769.599999999999</v>
      </c>
      <c r="AN158" s="49">
        <f t="shared" si="56"/>
        <v>53027.1</v>
      </c>
      <c r="AO158" s="49">
        <f>177815/3</f>
        <v>59271.666666666664</v>
      </c>
    </row>
    <row r="159" spans="1:41" s="18" customFormat="1" ht="13.2" x14ac:dyDescent="0.25">
      <c r="A159" s="46">
        <v>33420</v>
      </c>
      <c r="B159" s="45" t="s">
        <v>147</v>
      </c>
      <c r="C159" s="43">
        <v>95902.6</v>
      </c>
      <c r="D159" s="43">
        <f t="shared" si="58"/>
        <v>7991.8833333333341</v>
      </c>
      <c r="E159" s="43">
        <v>6852</v>
      </c>
      <c r="F159" s="43">
        <v>8093.5</v>
      </c>
      <c r="G159" s="43">
        <f t="shared" si="59"/>
        <v>22345.305800000002</v>
      </c>
      <c r="H159" s="44">
        <f t="shared" si="66"/>
        <v>8.2361070779998241E-2</v>
      </c>
      <c r="I159" s="43">
        <v>7888.5</v>
      </c>
      <c r="J159" s="43"/>
      <c r="K159" s="43"/>
      <c r="L159" s="43">
        <f t="shared" si="61"/>
        <v>7888.5</v>
      </c>
      <c r="M159" s="43">
        <v>6342.7340000000004</v>
      </c>
      <c r="N159" s="43">
        <f t="shared" si="62"/>
        <v>-1545.7659999999996</v>
      </c>
      <c r="O159" s="43">
        <f t="shared" si="67"/>
        <v>80.404817138873057</v>
      </c>
      <c r="P159" s="43">
        <v>32001.300000000003</v>
      </c>
      <c r="Q159" s="44">
        <f t="shared" si="64"/>
        <v>0.13056622996525763</v>
      </c>
      <c r="R159" s="43">
        <f>6201897*Q159/100</f>
        <v>8097.5830992284136</v>
      </c>
      <c r="S159" s="43"/>
      <c r="T159" s="43"/>
      <c r="U159" s="43"/>
      <c r="V159" s="43"/>
      <c r="W159" s="43"/>
      <c r="X159" s="43">
        <f t="shared" si="52"/>
        <v>8097.5830992284136</v>
      </c>
      <c r="Y159" s="43">
        <v>9358</v>
      </c>
      <c r="Z159" s="43">
        <f t="shared" si="57"/>
        <v>9358</v>
      </c>
      <c r="AA159" s="43"/>
      <c r="AB159" s="43"/>
      <c r="AC159" s="43"/>
      <c r="AD159" s="43">
        <f t="shared" si="53"/>
        <v>9358</v>
      </c>
      <c r="AE159" s="43">
        <f>11934.4-2000</f>
        <v>9934.4</v>
      </c>
      <c r="AF159" s="43"/>
      <c r="AG159" s="43"/>
      <c r="AH159" s="42">
        <f t="shared" si="54"/>
        <v>9934.4</v>
      </c>
      <c r="AI159" s="41">
        <v>7538.8</v>
      </c>
      <c r="AJ159" s="40">
        <v>13450</v>
      </c>
      <c r="AK159" s="49">
        <f>11113.556-5000</f>
        <v>6113.5560000000005</v>
      </c>
      <c r="AL159" s="39">
        <f t="shared" si="55"/>
        <v>6113.5560000000005</v>
      </c>
      <c r="AM159" s="49"/>
      <c r="AN159" s="49">
        <f t="shared" si="56"/>
        <v>6113.5560000000005</v>
      </c>
      <c r="AO159" s="49">
        <f>15456.2/3</f>
        <v>5152.0666666666666</v>
      </c>
    </row>
    <row r="160" spans="1:41" s="18" customFormat="1" ht="20.399999999999999" x14ac:dyDescent="0.25">
      <c r="A160" s="46">
        <v>34310</v>
      </c>
      <c r="B160" s="45" t="s">
        <v>146</v>
      </c>
      <c r="C160" s="43">
        <v>10702.3</v>
      </c>
      <c r="D160" s="43">
        <f t="shared" si="58"/>
        <v>891.85833333333323</v>
      </c>
      <c r="E160" s="43">
        <v>530.6</v>
      </c>
      <c r="F160" s="43">
        <v>355</v>
      </c>
      <c r="G160" s="43">
        <f t="shared" si="59"/>
        <v>2493.6358999999998</v>
      </c>
      <c r="H160" s="44">
        <f t="shared" si="66"/>
        <v>4.8803294826380138E-3</v>
      </c>
      <c r="I160" s="43">
        <v>1351.3</v>
      </c>
      <c r="J160" s="43"/>
      <c r="K160" s="43"/>
      <c r="L160" s="43">
        <f t="shared" si="61"/>
        <v>1351.3</v>
      </c>
      <c r="M160" s="43">
        <v>860.6</v>
      </c>
      <c r="N160" s="43">
        <f t="shared" si="62"/>
        <v>-490.69999999999993</v>
      </c>
      <c r="O160" s="43">
        <f t="shared" si="67"/>
        <v>63.686820099163775</v>
      </c>
      <c r="P160" s="43">
        <f>D160*3</f>
        <v>2675.5749999999998</v>
      </c>
      <c r="Q160" s="44">
        <f t="shared" si="64"/>
        <v>1.0916423418401568E-2</v>
      </c>
      <c r="R160" s="43">
        <f>6201897*Q160/100</f>
        <v>677.02533649314432</v>
      </c>
      <c r="S160" s="43"/>
      <c r="T160" s="43"/>
      <c r="U160" s="43"/>
      <c r="V160" s="43"/>
      <c r="W160" s="43"/>
      <c r="X160" s="43">
        <f t="shared" si="52"/>
        <v>677.02533649314432</v>
      </c>
      <c r="Y160" s="43">
        <v>898.69999999999993</v>
      </c>
      <c r="Z160" s="43">
        <f t="shared" si="57"/>
        <v>898.69999999999993</v>
      </c>
      <c r="AA160" s="43"/>
      <c r="AB160" s="43"/>
      <c r="AC160" s="43"/>
      <c r="AD160" s="43">
        <f t="shared" si="53"/>
        <v>898.69999999999993</v>
      </c>
      <c r="AE160" s="43">
        <f>2211.9-1200</f>
        <v>1011.9000000000001</v>
      </c>
      <c r="AF160" s="43"/>
      <c r="AG160" s="43"/>
      <c r="AH160" s="42">
        <f t="shared" si="54"/>
        <v>1011.9000000000001</v>
      </c>
      <c r="AI160" s="41">
        <v>919.7</v>
      </c>
      <c r="AJ160" s="40">
        <v>919.7</v>
      </c>
      <c r="AK160" s="49">
        <v>989.94736842105272</v>
      </c>
      <c r="AL160" s="39">
        <f t="shared" si="55"/>
        <v>989.94736842105272</v>
      </c>
      <c r="AM160" s="49"/>
      <c r="AN160" s="49">
        <f t="shared" si="56"/>
        <v>989.94736842105272</v>
      </c>
      <c r="AO160" s="49">
        <f>1747.2/3</f>
        <v>582.4</v>
      </c>
    </row>
    <row r="161" spans="1:41" s="18" customFormat="1" ht="20.399999999999999" x14ac:dyDescent="0.25">
      <c r="A161" s="46">
        <v>34321</v>
      </c>
      <c r="B161" s="45" t="s">
        <v>145</v>
      </c>
      <c r="C161" s="43">
        <v>1089964.2</v>
      </c>
      <c r="D161" s="43">
        <f t="shared" si="58"/>
        <v>90830.349999999991</v>
      </c>
      <c r="E161" s="43">
        <v>80027.100000000006</v>
      </c>
      <c r="F161" s="43">
        <v>82915.399999999994</v>
      </c>
      <c r="G161" s="43">
        <f t="shared" si="59"/>
        <v>253961.6586</v>
      </c>
      <c r="H161" s="44">
        <f t="shared" si="66"/>
        <v>0.89793708979758868</v>
      </c>
      <c r="I161" s="43">
        <v>118124.8</v>
      </c>
      <c r="J161" s="43"/>
      <c r="K161" s="43"/>
      <c r="L161" s="43">
        <f t="shared" si="61"/>
        <v>118124.8</v>
      </c>
      <c r="M161" s="43">
        <v>86224.9</v>
      </c>
      <c r="N161" s="43">
        <f t="shared" si="62"/>
        <v>-31899.900000000009</v>
      </c>
      <c r="O161" s="43">
        <f t="shared" si="67"/>
        <v>72.994747927615535</v>
      </c>
      <c r="P161" s="43">
        <f>D161*3</f>
        <v>272491.05</v>
      </c>
      <c r="Q161" s="44">
        <f t="shared" si="64"/>
        <v>1.1117713685936041</v>
      </c>
      <c r="R161" s="43">
        <f>6201897*Q161/100+13000</f>
        <v>81950.915155665673</v>
      </c>
      <c r="S161" s="43"/>
      <c r="T161" s="43">
        <v>5000</v>
      </c>
      <c r="U161" s="43"/>
      <c r="V161" s="43"/>
      <c r="W161" s="43"/>
      <c r="X161" s="43">
        <f t="shared" si="52"/>
        <v>86950.915155665673</v>
      </c>
      <c r="Y161" s="43">
        <v>121478.39999999999</v>
      </c>
      <c r="Z161" s="43">
        <f t="shared" si="57"/>
        <v>121478.39999999999</v>
      </c>
      <c r="AA161" s="43"/>
      <c r="AB161" s="43"/>
      <c r="AC161" s="43"/>
      <c r="AD161" s="43">
        <f t="shared" si="53"/>
        <v>121478.39999999999</v>
      </c>
      <c r="AE161" s="43">
        <f>232948.9-100000</f>
        <v>132948.9</v>
      </c>
      <c r="AF161" s="43">
        <v>50000</v>
      </c>
      <c r="AG161" s="43"/>
      <c r="AH161" s="42">
        <f t="shared" si="54"/>
        <v>182948.9</v>
      </c>
      <c r="AI161" s="41">
        <v>67418.600000000006</v>
      </c>
      <c r="AJ161" s="40">
        <v>67418.600000000006</v>
      </c>
      <c r="AK161" s="49">
        <v>65390.892857142862</v>
      </c>
      <c r="AL161" s="39">
        <f t="shared" si="55"/>
        <v>65390.892857142862</v>
      </c>
      <c r="AM161" s="49"/>
      <c r="AN161" s="49">
        <f t="shared" si="56"/>
        <v>65390.892857142862</v>
      </c>
      <c r="AO161" s="49">
        <f>245040.3/3</f>
        <v>81680.099999999991</v>
      </c>
    </row>
    <row r="162" spans="1:41" s="18" customFormat="1" ht="12.75" customHeight="1" x14ac:dyDescent="0.25">
      <c r="A162" s="46">
        <v>34110</v>
      </c>
      <c r="B162" s="45" t="s">
        <v>144</v>
      </c>
      <c r="C162" s="43">
        <v>34777.800000000003</v>
      </c>
      <c r="D162" s="43">
        <f t="shared" si="58"/>
        <v>2898.15</v>
      </c>
      <c r="E162" s="43">
        <v>2893.9</v>
      </c>
      <c r="F162" s="43">
        <v>3053.5</v>
      </c>
      <c r="G162" s="43">
        <f t="shared" si="59"/>
        <v>8103.2274000000007</v>
      </c>
      <c r="H162" s="44">
        <f t="shared" si="66"/>
        <v>3.2774696889161382E-2</v>
      </c>
      <c r="I162" s="43">
        <f>7990664.7*H162/100+279.3</f>
        <v>2898.2161348542168</v>
      </c>
      <c r="J162" s="43"/>
      <c r="K162" s="43"/>
      <c r="L162" s="43">
        <f t="shared" si="61"/>
        <v>2898.2161348542168</v>
      </c>
      <c r="M162" s="43">
        <v>2756</v>
      </c>
      <c r="N162" s="43">
        <f t="shared" si="62"/>
        <v>-142.21613485421676</v>
      </c>
      <c r="O162" s="43">
        <f t="shared" si="67"/>
        <v>95.092976912801205</v>
      </c>
      <c r="P162" s="43">
        <v>11633.800000000001</v>
      </c>
      <c r="Q162" s="44">
        <f t="shared" si="64"/>
        <v>4.7466240626781231E-2</v>
      </c>
      <c r="R162" s="43">
        <f>6201897*Q162/100</f>
        <v>2943.8073534451264</v>
      </c>
      <c r="S162" s="43"/>
      <c r="T162" s="43"/>
      <c r="U162" s="43"/>
      <c r="V162" s="43"/>
      <c r="W162" s="43"/>
      <c r="X162" s="43">
        <f t="shared" si="52"/>
        <v>2943.8073534451264</v>
      </c>
      <c r="Y162" s="43">
        <v>3239.5660000000003</v>
      </c>
      <c r="Z162" s="43">
        <f t="shared" si="57"/>
        <v>3239.5660000000003</v>
      </c>
      <c r="AA162" s="43"/>
      <c r="AB162" s="43"/>
      <c r="AC162" s="43"/>
      <c r="AD162" s="43">
        <f t="shared" si="53"/>
        <v>3239.5660000000003</v>
      </c>
      <c r="AE162" s="43">
        <f>6596.3-3000</f>
        <v>3596.3</v>
      </c>
      <c r="AF162" s="43"/>
      <c r="AG162" s="43"/>
      <c r="AH162" s="42">
        <f t="shared" si="54"/>
        <v>3596.3</v>
      </c>
      <c r="AI162" s="41">
        <v>3065.1</v>
      </c>
      <c r="AJ162" s="40">
        <v>3065.1</v>
      </c>
      <c r="AK162" s="49">
        <v>2225</v>
      </c>
      <c r="AL162" s="39">
        <f t="shared" si="55"/>
        <v>2225</v>
      </c>
      <c r="AM162" s="49"/>
      <c r="AN162" s="49">
        <f t="shared" si="56"/>
        <v>2225</v>
      </c>
      <c r="AO162" s="49">
        <f>6827.6/3</f>
        <v>2275.8666666666668</v>
      </c>
    </row>
    <row r="163" spans="1:41" s="18" customFormat="1" ht="20.399999999999999" x14ac:dyDescent="0.25">
      <c r="A163" s="46">
        <v>34121</v>
      </c>
      <c r="B163" s="45" t="s">
        <v>143</v>
      </c>
      <c r="C163" s="43">
        <f>14758556+162362</f>
        <v>14920918</v>
      </c>
      <c r="D163" s="43">
        <f t="shared" si="58"/>
        <v>1243409.8333333333</v>
      </c>
      <c r="E163" s="43">
        <v>1473103.8</v>
      </c>
      <c r="F163" s="43">
        <v>1531737.8</v>
      </c>
      <c r="G163" s="43">
        <f t="shared" si="59"/>
        <v>3476573.8940000003</v>
      </c>
      <c r="H163" s="44">
        <f t="shared" si="66"/>
        <v>16.558962343199166</v>
      </c>
      <c r="I163" s="43">
        <f>7990664.7*H163/100</f>
        <v>1323171.1586443086</v>
      </c>
      <c r="J163" s="43">
        <f>1768213.2-I163</f>
        <v>445042.04135569138</v>
      </c>
      <c r="K163" s="43"/>
      <c r="L163" s="43">
        <f t="shared" si="61"/>
        <v>1768213.2</v>
      </c>
      <c r="M163" s="43">
        <v>1663488.9</v>
      </c>
      <c r="N163" s="43">
        <f t="shared" si="62"/>
        <v>-104724.30000000005</v>
      </c>
      <c r="O163" s="43">
        <f t="shared" si="67"/>
        <v>94.077394060851944</v>
      </c>
      <c r="P163" s="43">
        <v>7223967.2000000002</v>
      </c>
      <c r="Q163" s="44">
        <f t="shared" si="64"/>
        <v>29.473995203216059</v>
      </c>
      <c r="R163" s="43">
        <f>6201897*Q163/100-100000-50000</f>
        <v>1677946.8242884008</v>
      </c>
      <c r="S163" s="43"/>
      <c r="T163" s="43"/>
      <c r="U163" s="43"/>
      <c r="V163" s="43"/>
      <c r="W163" s="43"/>
      <c r="X163" s="43">
        <f t="shared" si="52"/>
        <v>1677946.8242884008</v>
      </c>
      <c r="Y163" s="43">
        <v>2311225.0009999997</v>
      </c>
      <c r="Z163" s="43">
        <f t="shared" si="57"/>
        <v>2311225.0009999997</v>
      </c>
      <c r="AA163" s="43"/>
      <c r="AB163" s="43"/>
      <c r="AC163" s="43"/>
      <c r="AD163" s="43">
        <f t="shared" ref="AD163:AD226" si="68">SUM(Z163:AC163)</f>
        <v>2311225.0009999997</v>
      </c>
      <c r="AE163" s="43">
        <f>3027372.05-400000</f>
        <v>2627372.0499999998</v>
      </c>
      <c r="AF163" s="43"/>
      <c r="AG163" s="43"/>
      <c r="AH163" s="42">
        <f t="shared" si="54"/>
        <v>2627372.0499999998</v>
      </c>
      <c r="AI163" s="41">
        <v>833901</v>
      </c>
      <c r="AJ163" s="40">
        <v>949561.2</v>
      </c>
      <c r="AK163" s="49">
        <f>1439480.9-200000-154000</f>
        <v>1085480.8999999999</v>
      </c>
      <c r="AL163" s="39">
        <f t="shared" si="55"/>
        <v>1085480.8999999999</v>
      </c>
      <c r="AM163" s="49"/>
      <c r="AN163" s="49">
        <f t="shared" si="56"/>
        <v>1085480.8999999999</v>
      </c>
      <c r="AO163" s="49">
        <f>3331775/3</f>
        <v>1110591.6666666667</v>
      </c>
    </row>
    <row r="164" spans="1:41" s="18" customFormat="1" ht="20.399999999999999" x14ac:dyDescent="0.25">
      <c r="A164" s="46">
        <v>34130</v>
      </c>
      <c r="B164" s="45" t="s">
        <v>142</v>
      </c>
      <c r="C164" s="43">
        <v>153855.5</v>
      </c>
      <c r="D164" s="43">
        <f t="shared" si="58"/>
        <v>12821.291666666666</v>
      </c>
      <c r="E164" s="43">
        <v>12211.8</v>
      </c>
      <c r="F164" s="43">
        <v>12767.9</v>
      </c>
      <c r="G164" s="43">
        <f t="shared" si="59"/>
        <v>35848.3315</v>
      </c>
      <c r="H164" s="44">
        <f t="shared" si="66"/>
        <v>0.1376571436059765</v>
      </c>
      <c r="I164" s="43">
        <f>7990664.7*H164/100+1821.6</f>
        <v>12821.320781151073</v>
      </c>
      <c r="J164" s="43"/>
      <c r="K164" s="43"/>
      <c r="L164" s="43">
        <f t="shared" si="61"/>
        <v>12821.320781151073</v>
      </c>
      <c r="M164" s="43">
        <v>12821.3</v>
      </c>
      <c r="N164" s="43">
        <f t="shared" si="62"/>
        <v>-2.0781151073606452E-2</v>
      </c>
      <c r="O164" s="43">
        <f t="shared" si="67"/>
        <v>99.999837917236235</v>
      </c>
      <c r="P164" s="43">
        <v>40970.900000000009</v>
      </c>
      <c r="Q164" s="44">
        <f t="shared" si="64"/>
        <v>0.16716245750277564</v>
      </c>
      <c r="R164" s="43">
        <f>6201897*Q164/100+2000</f>
        <v>12367.243436990917</v>
      </c>
      <c r="S164" s="43"/>
      <c r="T164" s="43"/>
      <c r="U164" s="43"/>
      <c r="V164" s="43"/>
      <c r="W164" s="43"/>
      <c r="X164" s="43">
        <f t="shared" si="52"/>
        <v>12367.243436990917</v>
      </c>
      <c r="Y164" s="43">
        <v>12633.699999999999</v>
      </c>
      <c r="Z164" s="43">
        <f t="shared" si="57"/>
        <v>12633.699999999999</v>
      </c>
      <c r="AA164" s="43"/>
      <c r="AB164" s="43"/>
      <c r="AC164" s="43"/>
      <c r="AD164" s="43">
        <f t="shared" si="68"/>
        <v>12633.699999999999</v>
      </c>
      <c r="AE164" s="43">
        <v>11357.2</v>
      </c>
      <c r="AF164" s="43">
        <v>2063.8000000000002</v>
      </c>
      <c r="AG164" s="43"/>
      <c r="AH164" s="42">
        <f t="shared" si="54"/>
        <v>13421</v>
      </c>
      <c r="AI164" s="41">
        <v>13454.6</v>
      </c>
      <c r="AJ164" s="40">
        <v>13454.6</v>
      </c>
      <c r="AK164" s="49">
        <v>12276.133333333333</v>
      </c>
      <c r="AL164" s="39">
        <f t="shared" si="55"/>
        <v>12276.133333333333</v>
      </c>
      <c r="AM164" s="49"/>
      <c r="AN164" s="49">
        <f t="shared" si="56"/>
        <v>12276.133333333333</v>
      </c>
      <c r="AO164" s="49">
        <f>33910/3</f>
        <v>11303.333333333334</v>
      </c>
    </row>
    <row r="165" spans="1:41" s="18" customFormat="1" ht="30.6" x14ac:dyDescent="0.25">
      <c r="A165" s="46">
        <v>34220</v>
      </c>
      <c r="B165" s="45" t="s">
        <v>141</v>
      </c>
      <c r="C165" s="43"/>
      <c r="D165" s="43"/>
      <c r="E165" s="43"/>
      <c r="F165" s="43"/>
      <c r="G165" s="43"/>
      <c r="H165" s="44"/>
      <c r="I165" s="43"/>
      <c r="J165" s="43"/>
      <c r="K165" s="43"/>
      <c r="L165" s="43"/>
      <c r="M165" s="43"/>
      <c r="N165" s="43"/>
      <c r="O165" s="43"/>
      <c r="P165" s="43"/>
      <c r="Q165" s="44"/>
      <c r="R165" s="43"/>
      <c r="S165" s="43">
        <v>385100</v>
      </c>
      <c r="T165" s="43"/>
      <c r="U165" s="43"/>
      <c r="V165" s="43"/>
      <c r="W165" s="43"/>
      <c r="X165" s="43">
        <f t="shared" si="52"/>
        <v>385100</v>
      </c>
      <c r="Y165" s="43"/>
      <c r="Z165" s="43">
        <f t="shared" si="57"/>
        <v>0</v>
      </c>
      <c r="AA165" s="43"/>
      <c r="AB165" s="43"/>
      <c r="AC165" s="43">
        <v>300000</v>
      </c>
      <c r="AD165" s="43">
        <f t="shared" si="68"/>
        <v>300000</v>
      </c>
      <c r="AE165" s="43"/>
      <c r="AF165" s="43"/>
      <c r="AG165" s="43">
        <v>190000</v>
      </c>
      <c r="AH165" s="42">
        <f t="shared" si="54"/>
        <v>190000</v>
      </c>
      <c r="AI165" s="41"/>
      <c r="AJ165" s="40">
        <v>64059</v>
      </c>
      <c r="AK165" s="49">
        <f>76375.1-24000</f>
        <v>52375.100000000006</v>
      </c>
      <c r="AL165" s="39">
        <f t="shared" si="55"/>
        <v>52375.100000000006</v>
      </c>
      <c r="AM165" s="49"/>
      <c r="AN165" s="49">
        <f t="shared" si="56"/>
        <v>52375.100000000006</v>
      </c>
      <c r="AO165" s="49"/>
    </row>
    <row r="166" spans="1:41" s="18" customFormat="1" ht="13.2" x14ac:dyDescent="0.25">
      <c r="A166" s="48">
        <v>34911</v>
      </c>
      <c r="B166" s="45" t="s">
        <v>140</v>
      </c>
      <c r="C166" s="43">
        <v>45000</v>
      </c>
      <c r="D166" s="43">
        <f>C166/12</f>
        <v>3750</v>
      </c>
      <c r="E166" s="43"/>
      <c r="F166" s="43"/>
      <c r="G166" s="43">
        <f>C166*23.3/100</f>
        <v>10485</v>
      </c>
      <c r="H166" s="44">
        <f>(E166+F166)/(8725103.2+9421212.6)*100</f>
        <v>0</v>
      </c>
      <c r="I166" s="43">
        <v>6500</v>
      </c>
      <c r="J166" s="43"/>
      <c r="K166" s="43"/>
      <c r="L166" s="43">
        <f>SUM(I166:K166)</f>
        <v>6500</v>
      </c>
      <c r="M166" s="43">
        <v>6500</v>
      </c>
      <c r="N166" s="43">
        <f>M166-L166</f>
        <v>0</v>
      </c>
      <c r="O166" s="43">
        <f>M166/L166*100</f>
        <v>100</v>
      </c>
      <c r="P166" s="43">
        <v>7000</v>
      </c>
      <c r="Q166" s="44">
        <f>P166/24509630.1*100</f>
        <v>2.8560202546671645E-2</v>
      </c>
      <c r="R166" s="43">
        <f>6201897*Q166/100-1771.3</f>
        <v>-2.565506404766893E-2</v>
      </c>
      <c r="S166" s="43"/>
      <c r="T166" s="43"/>
      <c r="U166" s="43">
        <v>6500</v>
      </c>
      <c r="V166" s="43"/>
      <c r="W166" s="43"/>
      <c r="X166" s="43">
        <f t="shared" si="52"/>
        <v>6499.9743449359521</v>
      </c>
      <c r="Y166" s="43"/>
      <c r="Z166" s="43">
        <f t="shared" si="57"/>
        <v>0</v>
      </c>
      <c r="AA166" s="43"/>
      <c r="AB166" s="43"/>
      <c r="AC166" s="43">
        <v>1500</v>
      </c>
      <c r="AD166" s="43">
        <f t="shared" si="68"/>
        <v>1500</v>
      </c>
      <c r="AE166" s="43"/>
      <c r="AF166" s="43"/>
      <c r="AG166" s="43"/>
      <c r="AH166" s="42">
        <f t="shared" si="54"/>
        <v>0</v>
      </c>
      <c r="AI166" s="41">
        <f>6000</f>
        <v>6000</v>
      </c>
      <c r="AJ166" s="40">
        <v>0</v>
      </c>
      <c r="AK166" s="49">
        <v>3000</v>
      </c>
      <c r="AL166" s="39">
        <f t="shared" si="55"/>
        <v>3000</v>
      </c>
      <c r="AM166" s="49"/>
      <c r="AN166" s="49">
        <f t="shared" si="56"/>
        <v>3000</v>
      </c>
      <c r="AO166" s="49"/>
    </row>
    <row r="167" spans="1:41" s="18" customFormat="1" ht="20.399999999999999" x14ac:dyDescent="0.25">
      <c r="A167" s="48">
        <v>36110</v>
      </c>
      <c r="B167" s="45" t="s">
        <v>139</v>
      </c>
      <c r="C167" s="43"/>
      <c r="D167" s="43"/>
      <c r="E167" s="43"/>
      <c r="F167" s="43"/>
      <c r="G167" s="43"/>
      <c r="H167" s="44"/>
      <c r="I167" s="43"/>
      <c r="J167" s="43"/>
      <c r="K167" s="43"/>
      <c r="L167" s="43"/>
      <c r="M167" s="43"/>
      <c r="N167" s="43"/>
      <c r="O167" s="43"/>
      <c r="P167" s="43"/>
      <c r="Q167" s="44"/>
      <c r="R167" s="43"/>
      <c r="S167" s="43"/>
      <c r="T167" s="43"/>
      <c r="U167" s="43"/>
      <c r="V167" s="43"/>
      <c r="W167" s="43"/>
      <c r="X167" s="43"/>
      <c r="Y167" s="43"/>
      <c r="Z167" s="43"/>
      <c r="AA167" s="43">
        <v>6076</v>
      </c>
      <c r="AB167" s="43"/>
      <c r="AC167" s="43"/>
      <c r="AD167" s="43">
        <f t="shared" si="68"/>
        <v>6076</v>
      </c>
      <c r="AE167" s="43">
        <v>7500</v>
      </c>
      <c r="AF167" s="43"/>
      <c r="AG167" s="43"/>
      <c r="AH167" s="42">
        <f t="shared" si="54"/>
        <v>7500</v>
      </c>
      <c r="AI167" s="41">
        <f>7000</f>
        <v>7000</v>
      </c>
      <c r="AJ167" s="40">
        <v>5800</v>
      </c>
      <c r="AK167" s="49">
        <v>7197.2</v>
      </c>
      <c r="AL167" s="39">
        <f t="shared" si="55"/>
        <v>7197.2</v>
      </c>
      <c r="AM167" s="49"/>
      <c r="AN167" s="49">
        <f t="shared" si="56"/>
        <v>7197.2</v>
      </c>
      <c r="AO167" s="49">
        <v>7000</v>
      </c>
    </row>
    <row r="168" spans="1:41" s="18" customFormat="1" ht="20.399999999999999" x14ac:dyDescent="0.25">
      <c r="A168" s="46">
        <v>36121</v>
      </c>
      <c r="B168" s="45" t="s">
        <v>138</v>
      </c>
      <c r="C168" s="43">
        <v>651805.6</v>
      </c>
      <c r="D168" s="43">
        <f t="shared" ref="D168:D231" si="69">C168/12</f>
        <v>54317.133333333331</v>
      </c>
      <c r="E168" s="43">
        <v>28800.7</v>
      </c>
      <c r="F168" s="43">
        <v>79833.7</v>
      </c>
      <c r="G168" s="43">
        <f t="shared" ref="G168:G231" si="70">C168*23.3/100</f>
        <v>151870.70480000001</v>
      </c>
      <c r="H168" s="44">
        <f t="shared" ref="H168:H231" si="71">(E168+F168)/(8725103.2+9421212.6)*100</f>
        <v>0.59865815847864834</v>
      </c>
      <c r="I168" s="43">
        <f>7990664.7*H168/100+6480.3</f>
        <v>54317.066143223412</v>
      </c>
      <c r="J168" s="43"/>
      <c r="K168" s="43"/>
      <c r="L168" s="43">
        <f t="shared" ref="L168:L231" si="72">SUM(I168:K168)</f>
        <v>54317.066143223412</v>
      </c>
      <c r="M168" s="43">
        <v>39110.400000000001</v>
      </c>
      <c r="N168" s="43">
        <f t="shared" ref="N168:N231" si="73">M168-L168</f>
        <v>-15206.66614322341</v>
      </c>
      <c r="O168" s="43">
        <f t="shared" ref="O168:O208" si="74">M168/L168*100</f>
        <v>72.003888974550975</v>
      </c>
      <c r="P168" s="43">
        <v>183546.39999999997</v>
      </c>
      <c r="Q168" s="44">
        <f t="shared" ref="Q168:Q231" si="75">P168/24509630.1*100</f>
        <v>0.74887462295891583</v>
      </c>
      <c r="R168" s="43">
        <f>6201897*Q168/100</f>
        <v>46444.432775050307</v>
      </c>
      <c r="S168" s="43"/>
      <c r="T168" s="43"/>
      <c r="U168" s="43"/>
      <c r="V168" s="43"/>
      <c r="W168" s="43"/>
      <c r="X168" s="43">
        <f>SUM(R168:V168)</f>
        <v>46444.432775050307</v>
      </c>
      <c r="Y168" s="43">
        <v>25516.5</v>
      </c>
      <c r="Z168" s="43">
        <f t="shared" ref="Z168:Z174" si="76">Y168</f>
        <v>25516.5</v>
      </c>
      <c r="AA168" s="43">
        <v>16000</v>
      </c>
      <c r="AB168" s="43"/>
      <c r="AC168" s="43"/>
      <c r="AD168" s="43">
        <f t="shared" si="68"/>
        <v>41516.5</v>
      </c>
      <c r="AE168" s="43">
        <v>108449</v>
      </c>
      <c r="AF168" s="43"/>
      <c r="AG168" s="43">
        <v>6870.2</v>
      </c>
      <c r="AH168" s="42">
        <f t="shared" si="54"/>
        <v>115319.2</v>
      </c>
      <c r="AI168" s="41">
        <f>54886.8-4364.9</f>
        <v>50521.9</v>
      </c>
      <c r="AJ168" s="40">
        <v>44221.9</v>
      </c>
      <c r="AK168" s="49">
        <f>47324.1333333333-7000</f>
        <v>40324.133333333302</v>
      </c>
      <c r="AL168" s="39">
        <f t="shared" si="55"/>
        <v>40324.133333333302</v>
      </c>
      <c r="AM168" s="49">
        <v>55311.8</v>
      </c>
      <c r="AN168" s="49">
        <f t="shared" si="56"/>
        <v>95635.933333333305</v>
      </c>
      <c r="AO168" s="49">
        <f>235289.8/3-8000</f>
        <v>70429.933333333334</v>
      </c>
    </row>
    <row r="169" spans="1:41" s="18" customFormat="1" ht="20.399999999999999" x14ac:dyDescent="0.25">
      <c r="A169" s="46">
        <v>36131</v>
      </c>
      <c r="B169" s="45" t="s">
        <v>137</v>
      </c>
      <c r="C169" s="43">
        <v>8535441.6999999993</v>
      </c>
      <c r="D169" s="43">
        <f t="shared" si="69"/>
        <v>711286.80833333323</v>
      </c>
      <c r="E169" s="43">
        <v>677392.9</v>
      </c>
      <c r="F169" s="43">
        <v>561284.1</v>
      </c>
      <c r="G169" s="43">
        <f t="shared" si="70"/>
        <v>1988757.9160999998</v>
      </c>
      <c r="H169" s="44">
        <f t="shared" si="71"/>
        <v>6.8260522612529435</v>
      </c>
      <c r="I169" s="43">
        <f>7990664.7*H169/100+45372.4</f>
        <v>590819.34844349069</v>
      </c>
      <c r="J169" s="43"/>
      <c r="K169" s="43"/>
      <c r="L169" s="43">
        <f t="shared" si="72"/>
        <v>590819.34844349069</v>
      </c>
      <c r="M169" s="43">
        <v>560273.80000000005</v>
      </c>
      <c r="N169" s="43">
        <f t="shared" si="73"/>
        <v>-30545.548443490639</v>
      </c>
      <c r="O169" s="43">
        <f t="shared" si="74"/>
        <v>94.829968157955108</v>
      </c>
      <c r="P169" s="43">
        <v>1800675</v>
      </c>
      <c r="Q169" s="44">
        <f t="shared" si="75"/>
        <v>7.3468061029611373</v>
      </c>
      <c r="R169" s="43">
        <f>6201897*Q169/100+100000</f>
        <v>555641.34729536367</v>
      </c>
      <c r="S169" s="43">
        <v>12200</v>
      </c>
      <c r="T169" s="43">
        <v>185160.5</v>
      </c>
      <c r="U169" s="43"/>
      <c r="V169" s="43"/>
      <c r="W169" s="43"/>
      <c r="X169" s="43">
        <f>SUM(R169:V169)</f>
        <v>753001.84729536367</v>
      </c>
      <c r="Y169" s="43">
        <v>600225</v>
      </c>
      <c r="Z169" s="43">
        <f t="shared" si="76"/>
        <v>600225</v>
      </c>
      <c r="AA169" s="43">
        <f>-6076+6076</f>
        <v>0</v>
      </c>
      <c r="AB169" s="43"/>
      <c r="AC169" s="43"/>
      <c r="AD169" s="43">
        <f t="shared" si="68"/>
        <v>600225</v>
      </c>
      <c r="AE169" s="43">
        <v>463388</v>
      </c>
      <c r="AF169" s="43"/>
      <c r="AG169" s="43">
        <v>65983.7</v>
      </c>
      <c r="AH169" s="42">
        <f t="shared" si="54"/>
        <v>529371.69999999995</v>
      </c>
      <c r="AI169" s="41">
        <f>600163.5+4364.9</f>
        <v>604528.4</v>
      </c>
      <c r="AJ169" s="40">
        <v>612028.4</v>
      </c>
      <c r="AK169" s="49">
        <f>991221.7-420000</f>
        <v>571221.69999999995</v>
      </c>
      <c r="AL169" s="39">
        <f t="shared" si="55"/>
        <v>571221.69999999995</v>
      </c>
      <c r="AM169" s="49">
        <v>575689.80000000005</v>
      </c>
      <c r="AN169" s="49">
        <f t="shared" si="56"/>
        <v>1146911.5</v>
      </c>
      <c r="AO169" s="114">
        <f>2761709.5/3-270000</f>
        <v>650569.83333333337</v>
      </c>
    </row>
    <row r="170" spans="1:41" s="18" customFormat="1" ht="13.2" x14ac:dyDescent="0.25">
      <c r="A170" s="46">
        <v>37110</v>
      </c>
      <c r="B170" s="45" t="s">
        <v>136</v>
      </c>
      <c r="C170" s="43">
        <v>24335.4</v>
      </c>
      <c r="D170" s="43">
        <f t="shared" si="69"/>
        <v>2027.95</v>
      </c>
      <c r="E170" s="43">
        <v>1941.5</v>
      </c>
      <c r="F170" s="43">
        <v>2057.1999999999998</v>
      </c>
      <c r="G170" s="43">
        <f t="shared" si="70"/>
        <v>5670.1482000000005</v>
      </c>
      <c r="H170" s="44">
        <f t="shared" si="71"/>
        <v>2.2035877938374689E-2</v>
      </c>
      <c r="I170" s="43">
        <f>7990664.7*H170/100+267.2</f>
        <v>2028.0131197567941</v>
      </c>
      <c r="J170" s="43"/>
      <c r="K170" s="43"/>
      <c r="L170" s="43">
        <f t="shared" si="72"/>
        <v>2028.0131197567941</v>
      </c>
      <c r="M170" s="43">
        <v>1518.7</v>
      </c>
      <c r="N170" s="43">
        <f t="shared" si="73"/>
        <v>-509.31311975679409</v>
      </c>
      <c r="O170" s="43">
        <f t="shared" si="74"/>
        <v>74.886103309929638</v>
      </c>
      <c r="P170" s="43">
        <v>6287.9</v>
      </c>
      <c r="Q170" s="44">
        <f t="shared" si="75"/>
        <v>2.565481394188809E-2</v>
      </c>
      <c r="R170" s="43">
        <f>6201897*Q170/100</f>
        <v>1591.0851362175392</v>
      </c>
      <c r="S170" s="43"/>
      <c r="T170" s="43"/>
      <c r="U170" s="43"/>
      <c r="V170" s="43"/>
      <c r="W170" s="43"/>
      <c r="X170" s="43">
        <f>SUM(R170:V170)</f>
        <v>1591.0851362175392</v>
      </c>
      <c r="Y170" s="43">
        <v>1665.6</v>
      </c>
      <c r="Z170" s="43">
        <f t="shared" si="76"/>
        <v>1665.6</v>
      </c>
      <c r="AA170" s="43"/>
      <c r="AB170" s="43"/>
      <c r="AC170" s="43"/>
      <c r="AD170" s="43">
        <f t="shared" si="68"/>
        <v>1665.6</v>
      </c>
      <c r="AE170" s="43">
        <f>2521.02-500</f>
        <v>2021.02</v>
      </c>
      <c r="AF170" s="43"/>
      <c r="AG170" s="43"/>
      <c r="AH170" s="42">
        <f t="shared" si="54"/>
        <v>2021.02</v>
      </c>
      <c r="AI170" s="41">
        <f>2057.4+690</f>
        <v>2747.4</v>
      </c>
      <c r="AJ170" s="40">
        <v>2974.8</v>
      </c>
      <c r="AK170" s="49">
        <f>2737.86666666667-1000</f>
        <v>1737.86666666667</v>
      </c>
      <c r="AL170" s="39">
        <f t="shared" si="55"/>
        <v>1737.86666666667</v>
      </c>
      <c r="AM170" s="49"/>
      <c r="AN170" s="49">
        <f t="shared" si="56"/>
        <v>1737.86666666667</v>
      </c>
      <c r="AO170" s="49">
        <f>5101.7/3</f>
        <v>1700.5666666666666</v>
      </c>
    </row>
    <row r="171" spans="1:41" s="18" customFormat="1" ht="13.5" customHeight="1" x14ac:dyDescent="0.25">
      <c r="A171" s="46">
        <v>37121</v>
      </c>
      <c r="B171" s="45" t="s">
        <v>135</v>
      </c>
      <c r="C171" s="43">
        <f>2593806.7+235784.3+7860.8</f>
        <v>2837451.8</v>
      </c>
      <c r="D171" s="43">
        <f t="shared" si="69"/>
        <v>236454.31666666665</v>
      </c>
      <c r="E171" s="43">
        <v>138579.79999999999</v>
      </c>
      <c r="F171" s="43">
        <v>175152.8</v>
      </c>
      <c r="G171" s="43">
        <f t="shared" si="70"/>
        <v>661126.26939999999</v>
      </c>
      <c r="H171" s="44">
        <f t="shared" si="71"/>
        <v>1.7289052139167556</v>
      </c>
      <c r="I171" s="43">
        <f>7990664.7*H171/100</f>
        <v>138151.01862490567</v>
      </c>
      <c r="J171" s="43">
        <v>20950</v>
      </c>
      <c r="K171" s="43"/>
      <c r="L171" s="43">
        <f t="shared" si="72"/>
        <v>159101.01862490567</v>
      </c>
      <c r="M171" s="43">
        <v>119107.2</v>
      </c>
      <c r="N171" s="43">
        <f t="shared" si="73"/>
        <v>-39993.818624905674</v>
      </c>
      <c r="O171" s="43">
        <f t="shared" si="74"/>
        <v>74.862625663513484</v>
      </c>
      <c r="P171" s="43">
        <v>758439.39999999991</v>
      </c>
      <c r="Q171" s="44">
        <f t="shared" si="75"/>
        <v>3.0944546976251588</v>
      </c>
      <c r="R171" s="43">
        <f>6201897*Q171/100-50000</f>
        <v>141914.89305837377</v>
      </c>
      <c r="S171" s="43"/>
      <c r="T171" s="43">
        <v>50000</v>
      </c>
      <c r="U171" s="43"/>
      <c r="V171" s="43"/>
      <c r="W171" s="43"/>
      <c r="X171" s="43">
        <f>SUM(R171:V171)</f>
        <v>191914.89305837377</v>
      </c>
      <c r="Y171" s="43">
        <v>139600.9</v>
      </c>
      <c r="Z171" s="43">
        <f t="shared" si="76"/>
        <v>139600.9</v>
      </c>
      <c r="AA171" s="43"/>
      <c r="AB171" s="43">
        <v>50000</v>
      </c>
      <c r="AC171" s="43"/>
      <c r="AD171" s="43">
        <f t="shared" si="68"/>
        <v>189600.9</v>
      </c>
      <c r="AE171" s="43">
        <f>217310.3-25000</f>
        <v>192310.3</v>
      </c>
      <c r="AF171" s="43"/>
      <c r="AG171" s="43"/>
      <c r="AH171" s="42">
        <f t="shared" si="54"/>
        <v>192310.3</v>
      </c>
      <c r="AI171" s="41">
        <v>200089.1</v>
      </c>
      <c r="AJ171" s="40">
        <v>237643.2</v>
      </c>
      <c r="AK171" s="49">
        <f>250405.91-50000-64000</f>
        <v>136405.91</v>
      </c>
      <c r="AL171" s="39">
        <f t="shared" si="55"/>
        <v>136405.91</v>
      </c>
      <c r="AM171" s="49"/>
      <c r="AN171" s="49">
        <f t="shared" si="56"/>
        <v>136405.91</v>
      </c>
      <c r="AO171" s="49">
        <f>444395.9/3</f>
        <v>148131.96666666667</v>
      </c>
    </row>
    <row r="172" spans="1:41" s="18" customFormat="1" ht="20.399999999999999" x14ac:dyDescent="0.25">
      <c r="A172" s="46">
        <v>38110</v>
      </c>
      <c r="B172" s="45" t="s">
        <v>134</v>
      </c>
      <c r="C172" s="43">
        <v>43753.2</v>
      </c>
      <c r="D172" s="43">
        <f t="shared" si="69"/>
        <v>3646.1</v>
      </c>
      <c r="E172" s="43">
        <v>2874.3</v>
      </c>
      <c r="F172" s="43">
        <v>2858.5</v>
      </c>
      <c r="G172" s="43">
        <f t="shared" si="70"/>
        <v>10194.4956</v>
      </c>
      <c r="H172" s="44">
        <f t="shared" si="71"/>
        <v>3.1592087689777781E-2</v>
      </c>
      <c r="I172" s="43">
        <f>7990664.7*H172/100+342</f>
        <v>2866.4177990201188</v>
      </c>
      <c r="J172" s="43"/>
      <c r="K172" s="43"/>
      <c r="L172" s="43">
        <f t="shared" si="72"/>
        <v>2866.4177990201188</v>
      </c>
      <c r="M172" s="43">
        <v>2866.4</v>
      </c>
      <c r="N172" s="43">
        <f t="shared" si="73"/>
        <v>-1.779902011867307E-2</v>
      </c>
      <c r="O172" s="43">
        <f t="shared" si="74"/>
        <v>99.999379050042009</v>
      </c>
      <c r="P172" s="43">
        <v>11776.099999999999</v>
      </c>
      <c r="Q172" s="44">
        <f t="shared" si="75"/>
        <v>4.8046828744265697E-2</v>
      </c>
      <c r="R172" s="43">
        <f>6201897*Q172/100</f>
        <v>2979.8148304857518</v>
      </c>
      <c r="S172" s="43"/>
      <c r="T172" s="43"/>
      <c r="U172" s="43"/>
      <c r="V172" s="43"/>
      <c r="W172" s="43"/>
      <c r="X172" s="43">
        <f>SUM(R172:V172)</f>
        <v>2979.8148304857518</v>
      </c>
      <c r="Y172" s="43">
        <v>2945.7340000000004</v>
      </c>
      <c r="Z172" s="43">
        <f t="shared" si="76"/>
        <v>2945.7340000000004</v>
      </c>
      <c r="AA172" s="43"/>
      <c r="AB172" s="43"/>
      <c r="AC172" s="43"/>
      <c r="AD172" s="43">
        <f t="shared" si="68"/>
        <v>2945.7340000000004</v>
      </c>
      <c r="AE172" s="43">
        <f>5679.7-2500</f>
        <v>3179.7</v>
      </c>
      <c r="AF172" s="43"/>
      <c r="AG172" s="43"/>
      <c r="AH172" s="42">
        <f t="shared" si="54"/>
        <v>3179.7</v>
      </c>
      <c r="AI172" s="41">
        <v>3346.1</v>
      </c>
      <c r="AJ172" s="40">
        <v>3846.1</v>
      </c>
      <c r="AK172" s="49">
        <v>3059.2</v>
      </c>
      <c r="AL172" s="39">
        <f t="shared" si="55"/>
        <v>3059.2</v>
      </c>
      <c r="AM172" s="49"/>
      <c r="AN172" s="49">
        <f t="shared" si="56"/>
        <v>3059.2</v>
      </c>
      <c r="AO172" s="49">
        <f>9088.9/3</f>
        <v>3029.6333333333332</v>
      </c>
    </row>
    <row r="173" spans="1:41" s="18" customFormat="1" ht="20.399999999999999" x14ac:dyDescent="0.25">
      <c r="A173" s="46">
        <v>38121</v>
      </c>
      <c r="B173" s="45" t="s">
        <v>133</v>
      </c>
      <c r="C173" s="43">
        <v>8190516.0999999996</v>
      </c>
      <c r="D173" s="43">
        <f t="shared" si="69"/>
        <v>682543.0083333333</v>
      </c>
      <c r="E173" s="43">
        <v>677020</v>
      </c>
      <c r="F173" s="43">
        <v>652154.4</v>
      </c>
      <c r="G173" s="43">
        <f t="shared" si="70"/>
        <v>1908390.2512999999</v>
      </c>
      <c r="H173" s="44">
        <f t="shared" si="71"/>
        <v>7.3247617568740875</v>
      </c>
      <c r="I173" s="43">
        <f>7990664.7*H173/100+97245.8</f>
        <v>682542.95206563757</v>
      </c>
      <c r="J173" s="43"/>
      <c r="K173" s="43"/>
      <c r="L173" s="43">
        <f t="shared" si="72"/>
        <v>682542.95206563757</v>
      </c>
      <c r="M173" s="43">
        <v>655670.4</v>
      </c>
      <c r="N173" s="43">
        <f t="shared" si="73"/>
        <v>-26872.552065637545</v>
      </c>
      <c r="O173" s="43">
        <f t="shared" si="74"/>
        <v>96.062877510593154</v>
      </c>
      <c r="P173" s="43">
        <v>2160521.5</v>
      </c>
      <c r="Q173" s="44">
        <f t="shared" si="75"/>
        <v>8.8149902352055491</v>
      </c>
      <c r="R173" s="43">
        <f>6201897*Q173/100+115000</f>
        <v>661696.61494750588</v>
      </c>
      <c r="S173" s="43">
        <v>101512.1</v>
      </c>
      <c r="T173" s="43"/>
      <c r="U173" s="43"/>
      <c r="V173" s="43"/>
      <c r="W173" s="43">
        <v>8914.4</v>
      </c>
      <c r="X173" s="43">
        <f>SUM(R173:V173)+W173</f>
        <v>772123.11494750588</v>
      </c>
      <c r="Y173" s="43">
        <v>706529.598</v>
      </c>
      <c r="Z173" s="43">
        <f t="shared" si="76"/>
        <v>706529.598</v>
      </c>
      <c r="AA173" s="43"/>
      <c r="AB173" s="43"/>
      <c r="AC173" s="43"/>
      <c r="AD173" s="43">
        <f t="shared" si="68"/>
        <v>706529.598</v>
      </c>
      <c r="AE173" s="43">
        <v>755797.3</v>
      </c>
      <c r="AF173" s="43"/>
      <c r="AG173" s="43"/>
      <c r="AH173" s="42">
        <f t="shared" si="54"/>
        <v>755797.3</v>
      </c>
      <c r="AI173" s="41">
        <v>715765</v>
      </c>
      <c r="AJ173" s="40">
        <v>795184.8</v>
      </c>
      <c r="AK173" s="49">
        <f>612000-43000</f>
        <v>569000</v>
      </c>
      <c r="AL173" s="39">
        <f t="shared" si="55"/>
        <v>569000</v>
      </c>
      <c r="AM173" s="49"/>
      <c r="AN173" s="49">
        <f t="shared" si="56"/>
        <v>569000</v>
      </c>
      <c r="AO173" s="49">
        <f>1597488.5/3</f>
        <v>532496.16666666663</v>
      </c>
    </row>
    <row r="174" spans="1:41" s="18" customFormat="1" ht="20.399999999999999" x14ac:dyDescent="0.25">
      <c r="A174" s="46">
        <v>39120</v>
      </c>
      <c r="B174" s="45" t="s">
        <v>132</v>
      </c>
      <c r="C174" s="43">
        <v>13497.3</v>
      </c>
      <c r="D174" s="43">
        <f t="shared" si="69"/>
        <v>1124.7749999999999</v>
      </c>
      <c r="E174" s="43">
        <v>1070.3</v>
      </c>
      <c r="F174" s="43">
        <v>1086.3</v>
      </c>
      <c r="G174" s="43">
        <f t="shared" si="70"/>
        <v>3144.8708999999999</v>
      </c>
      <c r="H174" s="44">
        <f t="shared" si="71"/>
        <v>1.1884506054942569E-2</v>
      </c>
      <c r="I174" s="43">
        <v>1207.3</v>
      </c>
      <c r="J174" s="43"/>
      <c r="K174" s="43"/>
      <c r="L174" s="43">
        <f t="shared" si="72"/>
        <v>1207.3</v>
      </c>
      <c r="M174" s="43">
        <v>1203.2</v>
      </c>
      <c r="N174" s="43">
        <f t="shared" si="73"/>
        <v>-4.0999999999999091</v>
      </c>
      <c r="O174" s="43">
        <f t="shared" si="74"/>
        <v>99.660399237969031</v>
      </c>
      <c r="P174" s="43">
        <v>4843.8000000000011</v>
      </c>
      <c r="Q174" s="44">
        <f t="shared" si="75"/>
        <v>1.9762844156509734E-2</v>
      </c>
      <c r="R174" s="43">
        <f>6201897*Q174/100</f>
        <v>1225.6712388572525</v>
      </c>
      <c r="S174" s="43"/>
      <c r="T174" s="43"/>
      <c r="U174" s="43"/>
      <c r="V174" s="43"/>
      <c r="W174" s="43"/>
      <c r="X174" s="43">
        <f t="shared" ref="X174:X237" si="77">SUM(R174:V174)</f>
        <v>1225.6712388572525</v>
      </c>
      <c r="Y174" s="43">
        <v>1457.932</v>
      </c>
      <c r="Z174" s="43">
        <f t="shared" si="76"/>
        <v>1457.932</v>
      </c>
      <c r="AA174" s="43"/>
      <c r="AB174" s="43"/>
      <c r="AC174" s="43"/>
      <c r="AD174" s="43">
        <f t="shared" si="68"/>
        <v>1457.932</v>
      </c>
      <c r="AE174" s="43">
        <f>3230.2-1500</f>
        <v>1730.1999999999998</v>
      </c>
      <c r="AF174" s="43"/>
      <c r="AG174" s="43"/>
      <c r="AH174" s="42">
        <f t="shared" si="54"/>
        <v>1730.1999999999998</v>
      </c>
      <c r="AI174" s="41">
        <v>1125</v>
      </c>
      <c r="AJ174" s="40">
        <v>1387.9</v>
      </c>
      <c r="AK174" s="49">
        <v>1317.6</v>
      </c>
      <c r="AL174" s="39">
        <f t="shared" si="55"/>
        <v>1317.6</v>
      </c>
      <c r="AM174" s="49"/>
      <c r="AN174" s="49">
        <f t="shared" si="56"/>
        <v>1317.6</v>
      </c>
      <c r="AO174" s="49">
        <f>2889.5/3</f>
        <v>963.16666666666663</v>
      </c>
    </row>
    <row r="175" spans="1:41" s="18" customFormat="1" ht="40.799999999999997" x14ac:dyDescent="0.25">
      <c r="A175" s="46">
        <v>40120</v>
      </c>
      <c r="B175" s="45" t="s">
        <v>131</v>
      </c>
      <c r="C175" s="43">
        <v>739.4</v>
      </c>
      <c r="D175" s="43">
        <f t="shared" si="69"/>
        <v>61.616666666666667</v>
      </c>
      <c r="E175" s="43">
        <v>45.6</v>
      </c>
      <c r="F175" s="43">
        <v>45.6</v>
      </c>
      <c r="G175" s="43">
        <f t="shared" si="70"/>
        <v>172.28020000000001</v>
      </c>
      <c r="H175" s="44">
        <f t="shared" si="71"/>
        <v>5.02581355935622E-4</v>
      </c>
      <c r="I175" s="43">
        <v>93.7</v>
      </c>
      <c r="J175" s="43"/>
      <c r="K175" s="43"/>
      <c r="L175" s="43">
        <f t="shared" si="72"/>
        <v>93.7</v>
      </c>
      <c r="M175" s="43">
        <v>93.65</v>
      </c>
      <c r="N175" s="43">
        <f t="shared" si="73"/>
        <v>-4.9999999999997158E-2</v>
      </c>
      <c r="O175" s="43">
        <f t="shared" si="74"/>
        <v>99.946638207043762</v>
      </c>
      <c r="P175" s="43">
        <v>177.00000000000003</v>
      </c>
      <c r="Q175" s="44">
        <f t="shared" si="75"/>
        <v>7.2216512153726884E-4</v>
      </c>
      <c r="R175" s="43">
        <f>6201897*Q175/100</f>
        <v>44.78793700766623</v>
      </c>
      <c r="S175" s="43"/>
      <c r="T175" s="43"/>
      <c r="U175" s="43"/>
      <c r="V175" s="43"/>
      <c r="W175" s="43"/>
      <c r="X175" s="43">
        <f t="shared" si="77"/>
        <v>44.78793700766623</v>
      </c>
      <c r="Y175" s="43"/>
      <c r="Z175" s="43">
        <f>D175</f>
        <v>61.616666666666667</v>
      </c>
      <c r="AA175" s="43"/>
      <c r="AB175" s="43"/>
      <c r="AC175" s="43"/>
      <c r="AD175" s="43">
        <f t="shared" si="68"/>
        <v>61.616666666666667</v>
      </c>
      <c r="AE175" s="43">
        <v>70.599999999999994</v>
      </c>
      <c r="AF175" s="43"/>
      <c r="AG175" s="43"/>
      <c r="AH175" s="42">
        <f t="shared" si="54"/>
        <v>70.599999999999994</v>
      </c>
      <c r="AI175" s="41">
        <v>62</v>
      </c>
      <c r="AJ175" s="40">
        <v>62</v>
      </c>
      <c r="AK175" s="49">
        <v>67.95</v>
      </c>
      <c r="AL175" s="39">
        <f t="shared" si="55"/>
        <v>67.95</v>
      </c>
      <c r="AM175" s="49"/>
      <c r="AN175" s="49">
        <f t="shared" si="56"/>
        <v>67.95</v>
      </c>
      <c r="AO175" s="49">
        <f>185.6/3</f>
        <v>61.866666666666667</v>
      </c>
    </row>
    <row r="176" spans="1:41" s="18" customFormat="1" ht="20.399999999999999" x14ac:dyDescent="0.25">
      <c r="A176" s="46">
        <v>41110</v>
      </c>
      <c r="B176" s="45" t="s">
        <v>130</v>
      </c>
      <c r="C176" s="43">
        <v>41967.3</v>
      </c>
      <c r="D176" s="43">
        <f t="shared" si="69"/>
        <v>3497.2750000000001</v>
      </c>
      <c r="E176" s="43">
        <v>1778.3</v>
      </c>
      <c r="F176" s="43">
        <v>2928.9</v>
      </c>
      <c r="G176" s="43">
        <f t="shared" si="70"/>
        <v>9778.3809000000001</v>
      </c>
      <c r="H176" s="44">
        <f t="shared" si="71"/>
        <v>2.5940251739694734E-2</v>
      </c>
      <c r="I176" s="43">
        <f>7990664.7*H176/100</f>
        <v>2072.7985388549232</v>
      </c>
      <c r="J176" s="43"/>
      <c r="K176" s="43"/>
      <c r="L176" s="43">
        <f t="shared" si="72"/>
        <v>2072.7985388549232</v>
      </c>
      <c r="M176" s="43">
        <v>2072.8000000000002</v>
      </c>
      <c r="N176" s="43">
        <f t="shared" si="73"/>
        <v>1.4611450769734802E-3</v>
      </c>
      <c r="O176" s="43">
        <f t="shared" si="74"/>
        <v>100.00007049141774</v>
      </c>
      <c r="P176" s="43">
        <v>11642.1</v>
      </c>
      <c r="Q176" s="44">
        <f t="shared" si="75"/>
        <v>4.7500104866943706E-2</v>
      </c>
      <c r="R176" s="43">
        <f>6201897*Q176/100-1000</f>
        <v>1945.907578739836</v>
      </c>
      <c r="S176" s="43">
        <v>1265.8</v>
      </c>
      <c r="T176" s="43"/>
      <c r="U176" s="43"/>
      <c r="V176" s="43"/>
      <c r="W176" s="43"/>
      <c r="X176" s="43">
        <f t="shared" si="77"/>
        <v>3211.7075787398362</v>
      </c>
      <c r="Y176" s="43">
        <v>1922.6659999999999</v>
      </c>
      <c r="Z176" s="43">
        <f t="shared" ref="Z176:Z207" si="78">Y176</f>
        <v>1922.6659999999999</v>
      </c>
      <c r="AA176" s="43"/>
      <c r="AB176" s="43"/>
      <c r="AC176" s="43">
        <v>1858.2</v>
      </c>
      <c r="AD176" s="43">
        <f t="shared" si="68"/>
        <v>3780.866</v>
      </c>
      <c r="AE176" s="43">
        <v>1947.5</v>
      </c>
      <c r="AF176" s="43">
        <v>880</v>
      </c>
      <c r="AG176" s="43"/>
      <c r="AH176" s="42">
        <f t="shared" si="54"/>
        <v>2827.5</v>
      </c>
      <c r="AI176" s="41">
        <v>2862.2</v>
      </c>
      <c r="AJ176" s="40">
        <v>2556.6999999999998</v>
      </c>
      <c r="AK176" s="49">
        <v>2582.6285714285718</v>
      </c>
      <c r="AL176" s="39">
        <f t="shared" si="55"/>
        <v>2582.6285714285718</v>
      </c>
      <c r="AM176" s="49"/>
      <c r="AN176" s="49">
        <f t="shared" si="56"/>
        <v>2582.6285714285718</v>
      </c>
      <c r="AO176" s="49">
        <f>5983.8/3</f>
        <v>1994.6000000000001</v>
      </c>
    </row>
    <row r="177" spans="1:41" s="18" customFormat="1" ht="20.399999999999999" x14ac:dyDescent="0.25">
      <c r="A177" s="46">
        <v>41121</v>
      </c>
      <c r="B177" s="45" t="s">
        <v>129</v>
      </c>
      <c r="C177" s="43">
        <v>182789.2</v>
      </c>
      <c r="D177" s="43">
        <f t="shared" si="69"/>
        <v>15232.433333333334</v>
      </c>
      <c r="E177" s="43">
        <v>6376.5</v>
      </c>
      <c r="F177" s="43">
        <v>8986</v>
      </c>
      <c r="G177" s="43">
        <f t="shared" si="70"/>
        <v>42589.883600000001</v>
      </c>
      <c r="H177" s="44">
        <f t="shared" si="71"/>
        <v>8.4659057900888082E-2</v>
      </c>
      <c r="I177" s="43">
        <f>7990664.7*H177/100</f>
        <v>6764.8214550388257</v>
      </c>
      <c r="J177" s="43"/>
      <c r="K177" s="43"/>
      <c r="L177" s="43">
        <f t="shared" si="72"/>
        <v>6764.8214550388257</v>
      </c>
      <c r="M177" s="43">
        <v>6764.8</v>
      </c>
      <c r="N177" s="43">
        <f t="shared" si="73"/>
        <v>-2.1455038825479278E-2</v>
      </c>
      <c r="O177" s="43">
        <f t="shared" si="74"/>
        <v>99.999682843974995</v>
      </c>
      <c r="P177" s="43">
        <v>51072.600000000006</v>
      </c>
      <c r="Q177" s="44">
        <f t="shared" si="75"/>
        <v>0.20837768579787747</v>
      </c>
      <c r="R177" s="43">
        <f>6201897*Q177/100-4000</f>
        <v>8923.3694441679891</v>
      </c>
      <c r="S177" s="43">
        <v>15341.5</v>
      </c>
      <c r="T177" s="43"/>
      <c r="U177" s="43"/>
      <c r="V177" s="43"/>
      <c r="W177" s="43"/>
      <c r="X177" s="43">
        <f t="shared" si="77"/>
        <v>24264.869444167991</v>
      </c>
      <c r="Y177" s="43">
        <v>7440.5659999999998</v>
      </c>
      <c r="Z177" s="43">
        <f t="shared" si="78"/>
        <v>7440.5659999999998</v>
      </c>
      <c r="AA177" s="43"/>
      <c r="AB177" s="43"/>
      <c r="AC177" s="43">
        <v>11413.8</v>
      </c>
      <c r="AD177" s="43">
        <f t="shared" si="68"/>
        <v>18854.365999999998</v>
      </c>
      <c r="AE177" s="43">
        <v>8421.4</v>
      </c>
      <c r="AF177" s="43">
        <v>3020</v>
      </c>
      <c r="AG177" s="43"/>
      <c r="AH177" s="42">
        <f t="shared" si="54"/>
        <v>11441.4</v>
      </c>
      <c r="AI177" s="41">
        <v>11971.7</v>
      </c>
      <c r="AJ177" s="40">
        <v>12464.6</v>
      </c>
      <c r="AK177" s="49">
        <f>12279.2-5000</f>
        <v>7279.2000000000007</v>
      </c>
      <c r="AL177" s="39">
        <f t="shared" si="55"/>
        <v>7279.2000000000007</v>
      </c>
      <c r="AM177" s="49"/>
      <c r="AN177" s="49">
        <f t="shared" si="56"/>
        <v>7279.2000000000007</v>
      </c>
      <c r="AO177" s="49">
        <f>22469.8/3</f>
        <v>7489.9333333333334</v>
      </c>
    </row>
    <row r="178" spans="1:41" s="18" customFormat="1" ht="20.399999999999999" x14ac:dyDescent="0.25">
      <c r="A178" s="46">
        <v>41210</v>
      </c>
      <c r="B178" s="45" t="s">
        <v>128</v>
      </c>
      <c r="C178" s="43">
        <v>14833.3</v>
      </c>
      <c r="D178" s="43">
        <f t="shared" si="69"/>
        <v>1236.1083333333333</v>
      </c>
      <c r="E178" s="43">
        <v>1040.5</v>
      </c>
      <c r="F178" s="43">
        <v>1196.8</v>
      </c>
      <c r="G178" s="43">
        <f t="shared" si="70"/>
        <v>3456.1589000000004</v>
      </c>
      <c r="H178" s="44">
        <f t="shared" si="71"/>
        <v>1.2329224425819817E-2</v>
      </c>
      <c r="I178" s="43">
        <v>1155.9000000000001</v>
      </c>
      <c r="J178" s="43"/>
      <c r="K178" s="43"/>
      <c r="L178" s="43">
        <f t="shared" si="72"/>
        <v>1155.9000000000001</v>
      </c>
      <c r="M178" s="43">
        <v>1155.9000000000001</v>
      </c>
      <c r="N178" s="43">
        <f t="shared" si="73"/>
        <v>0</v>
      </c>
      <c r="O178" s="43">
        <f t="shared" si="74"/>
        <v>100</v>
      </c>
      <c r="P178" s="43">
        <v>3890.6000000000004</v>
      </c>
      <c r="Q178" s="44">
        <f t="shared" si="75"/>
        <v>1.5873760575440099E-2</v>
      </c>
      <c r="R178" s="43">
        <f>6201897*Q178/100</f>
        <v>984.47428091540223</v>
      </c>
      <c r="S178" s="43"/>
      <c r="T178" s="43"/>
      <c r="U178" s="43"/>
      <c r="V178" s="43"/>
      <c r="W178" s="43"/>
      <c r="X178" s="43">
        <f t="shared" si="77"/>
        <v>984.47428091540223</v>
      </c>
      <c r="Y178" s="43">
        <v>1073.067</v>
      </c>
      <c r="Z178" s="43">
        <f t="shared" si="78"/>
        <v>1073.067</v>
      </c>
      <c r="AA178" s="43"/>
      <c r="AB178" s="43"/>
      <c r="AC178" s="43"/>
      <c r="AD178" s="43">
        <f t="shared" si="68"/>
        <v>1073.067</v>
      </c>
      <c r="AE178" s="43">
        <f>1777.3-500</f>
        <v>1277.3</v>
      </c>
      <c r="AF178" s="43"/>
      <c r="AG178" s="43"/>
      <c r="AH178" s="42">
        <f t="shared" si="54"/>
        <v>1277.3</v>
      </c>
      <c r="AI178" s="41">
        <v>1243.5999999999999</v>
      </c>
      <c r="AJ178" s="40">
        <v>1480</v>
      </c>
      <c r="AK178" s="49">
        <f>1786.7-500</f>
        <v>1286.7</v>
      </c>
      <c r="AL178" s="39">
        <f t="shared" si="55"/>
        <v>1286.7</v>
      </c>
      <c r="AM178" s="49"/>
      <c r="AN178" s="49">
        <f t="shared" si="56"/>
        <v>1286.7</v>
      </c>
      <c r="AO178" s="49">
        <f>3308.4/3</f>
        <v>1102.8</v>
      </c>
    </row>
    <row r="179" spans="1:41" s="18" customFormat="1" ht="20.399999999999999" x14ac:dyDescent="0.25">
      <c r="A179" s="46">
        <v>41221</v>
      </c>
      <c r="B179" s="45" t="s">
        <v>127</v>
      </c>
      <c r="C179" s="43">
        <v>1143774.8</v>
      </c>
      <c r="D179" s="43">
        <f t="shared" si="69"/>
        <v>95314.566666666666</v>
      </c>
      <c r="E179" s="43">
        <v>68711.600000000006</v>
      </c>
      <c r="F179" s="43">
        <v>126225.3</v>
      </c>
      <c r="G179" s="43">
        <f t="shared" si="70"/>
        <v>266499.52840000001</v>
      </c>
      <c r="H179" s="44">
        <f t="shared" si="71"/>
        <v>1.0742505649548988</v>
      </c>
      <c r="I179" s="43">
        <v>144154.9</v>
      </c>
      <c r="J179" s="43"/>
      <c r="K179" s="43"/>
      <c r="L179" s="43">
        <f t="shared" si="72"/>
        <v>144154.9</v>
      </c>
      <c r="M179" s="43">
        <v>110700.6</v>
      </c>
      <c r="N179" s="43">
        <f t="shared" si="73"/>
        <v>-33454.299999999988</v>
      </c>
      <c r="O179" s="43">
        <f t="shared" si="74"/>
        <v>76.792811066429252</v>
      </c>
      <c r="P179" s="43">
        <v>286086.59999999998</v>
      </c>
      <c r="Q179" s="44">
        <f t="shared" si="75"/>
        <v>1.1672416059840902</v>
      </c>
      <c r="R179" s="43">
        <f>6201897*Q179/100</f>
        <v>72391.122144279114</v>
      </c>
      <c r="S179" s="43">
        <v>20000</v>
      </c>
      <c r="T179" s="43"/>
      <c r="U179" s="43"/>
      <c r="V179" s="43"/>
      <c r="W179" s="43"/>
      <c r="X179" s="43">
        <f t="shared" si="77"/>
        <v>92391.122144279114</v>
      </c>
      <c r="Y179" s="43">
        <v>74919.366999999998</v>
      </c>
      <c r="Z179" s="43">
        <f t="shared" si="78"/>
        <v>74919.366999999998</v>
      </c>
      <c r="AA179" s="43"/>
      <c r="AB179" s="43">
        <v>20000</v>
      </c>
      <c r="AC179" s="43"/>
      <c r="AD179" s="43">
        <f t="shared" si="68"/>
        <v>94919.366999999998</v>
      </c>
      <c r="AE179" s="43">
        <f>108774.3-20000</f>
        <v>88774.3</v>
      </c>
      <c r="AF179" s="43"/>
      <c r="AG179" s="43"/>
      <c r="AH179" s="42">
        <f t="shared" si="54"/>
        <v>88774.3</v>
      </c>
      <c r="AI179" s="41">
        <v>88774.3</v>
      </c>
      <c r="AJ179" s="49">
        <v>136272.5</v>
      </c>
      <c r="AK179" s="49">
        <f>108499.416666667-15000</f>
        <v>93499.416666667006</v>
      </c>
      <c r="AL179" s="39">
        <f t="shared" si="55"/>
        <v>93499.416666667006</v>
      </c>
      <c r="AM179" s="49"/>
      <c r="AN179" s="49">
        <f t="shared" si="56"/>
        <v>93499.416666667006</v>
      </c>
      <c r="AO179" s="49">
        <f>235955.4/3</f>
        <v>78651.8</v>
      </c>
    </row>
    <row r="180" spans="1:41" s="18" customFormat="1" ht="20.399999999999999" x14ac:dyDescent="0.25">
      <c r="A180" s="46">
        <v>41321</v>
      </c>
      <c r="B180" s="45" t="s">
        <v>126</v>
      </c>
      <c r="C180" s="43">
        <v>51646.1</v>
      </c>
      <c r="D180" s="43">
        <f t="shared" si="69"/>
        <v>4303.8416666666662</v>
      </c>
      <c r="E180" s="43">
        <v>3927.5</v>
      </c>
      <c r="F180" s="43">
        <v>4288.2</v>
      </c>
      <c r="G180" s="43">
        <f t="shared" si="70"/>
        <v>12033.541299999999</v>
      </c>
      <c r="H180" s="44">
        <f t="shared" si="71"/>
        <v>4.5274754889915461E-2</v>
      </c>
      <c r="I180" s="43">
        <f>7990664.7*H180/100+500</f>
        <v>4117.7538569999988</v>
      </c>
      <c r="J180" s="43"/>
      <c r="K180" s="43"/>
      <c r="L180" s="43">
        <f t="shared" si="72"/>
        <v>4117.7538569999988</v>
      </c>
      <c r="M180" s="43">
        <v>3695.1</v>
      </c>
      <c r="N180" s="43">
        <f t="shared" si="73"/>
        <v>-422.65385699999888</v>
      </c>
      <c r="O180" s="43">
        <f t="shared" si="74"/>
        <v>89.73581540621943</v>
      </c>
      <c r="P180" s="43">
        <v>13564.7</v>
      </c>
      <c r="Q180" s="44">
        <f t="shared" si="75"/>
        <v>5.5344368497833842E-2</v>
      </c>
      <c r="R180" s="43">
        <f>6201897*Q180/100+300</f>
        <v>3732.4007295361021</v>
      </c>
      <c r="S180" s="43">
        <v>1109.5999999999999</v>
      </c>
      <c r="T180" s="43"/>
      <c r="U180" s="43"/>
      <c r="V180" s="43"/>
      <c r="W180" s="43"/>
      <c r="X180" s="43">
        <f t="shared" si="77"/>
        <v>4842.000729536102</v>
      </c>
      <c r="Y180" s="43">
        <v>4014.9990000000003</v>
      </c>
      <c r="Z180" s="43">
        <f t="shared" si="78"/>
        <v>4014.9990000000003</v>
      </c>
      <c r="AA180" s="43"/>
      <c r="AB180" s="43"/>
      <c r="AC180" s="43">
        <v>306</v>
      </c>
      <c r="AD180" s="43">
        <f t="shared" si="68"/>
        <v>4320.9989999999998</v>
      </c>
      <c r="AE180" s="43">
        <v>4089.2</v>
      </c>
      <c r="AF180" s="43">
        <v>200</v>
      </c>
      <c r="AG180" s="43"/>
      <c r="AH180" s="42">
        <f t="shared" si="54"/>
        <v>4289.2</v>
      </c>
      <c r="AI180" s="41">
        <f>3916.5+572.5</f>
        <v>4489</v>
      </c>
      <c r="AJ180" s="40">
        <v>4717</v>
      </c>
      <c r="AK180" s="49">
        <f>4735.4-400</f>
        <v>4335.3999999999996</v>
      </c>
      <c r="AL180" s="39">
        <f t="shared" si="55"/>
        <v>4335.3999999999996</v>
      </c>
      <c r="AM180" s="49"/>
      <c r="AN180" s="49">
        <f t="shared" si="56"/>
        <v>4335.3999999999996</v>
      </c>
      <c r="AO180" s="49">
        <f>12242.3/3</f>
        <v>4080.7666666666664</v>
      </c>
    </row>
    <row r="181" spans="1:41" s="18" customFormat="1" ht="20.399999999999999" x14ac:dyDescent="0.25">
      <c r="A181" s="46">
        <v>41420</v>
      </c>
      <c r="B181" s="45" t="s">
        <v>125</v>
      </c>
      <c r="C181" s="43">
        <v>40045.9</v>
      </c>
      <c r="D181" s="43">
        <f t="shared" si="69"/>
        <v>3337.1583333333333</v>
      </c>
      <c r="E181" s="43">
        <v>2677.1</v>
      </c>
      <c r="F181" s="43">
        <v>2284.6</v>
      </c>
      <c r="G181" s="43">
        <f t="shared" si="70"/>
        <v>9330.6947</v>
      </c>
      <c r="H181" s="44">
        <f t="shared" si="71"/>
        <v>2.734274028230017E-2</v>
      </c>
      <c r="I181" s="43">
        <f>7990664.7*H181/100+300</f>
        <v>2484.8666957504402</v>
      </c>
      <c r="J181" s="43"/>
      <c r="K181" s="43"/>
      <c r="L181" s="43">
        <f t="shared" si="72"/>
        <v>2484.8666957504402</v>
      </c>
      <c r="M181" s="43">
        <v>2484.9</v>
      </c>
      <c r="N181" s="43">
        <f t="shared" si="73"/>
        <v>3.3304249559932941E-2</v>
      </c>
      <c r="O181" s="43">
        <f t="shared" si="74"/>
        <v>100.00134028314747</v>
      </c>
      <c r="P181" s="43">
        <v>10764.5</v>
      </c>
      <c r="Q181" s="44">
        <f t="shared" si="75"/>
        <v>4.391947147337813E-2</v>
      </c>
      <c r="R181" s="43">
        <f>6201897*Q181/100</f>
        <v>2723.8403837232936</v>
      </c>
      <c r="S181" s="43"/>
      <c r="T181" s="43">
        <v>5992.9</v>
      </c>
      <c r="U181" s="43"/>
      <c r="V181" s="43"/>
      <c r="W181" s="43"/>
      <c r="X181" s="43">
        <f t="shared" si="77"/>
        <v>8716.7403837232923</v>
      </c>
      <c r="Y181" s="43">
        <v>4523.3680000000004</v>
      </c>
      <c r="Z181" s="43">
        <f t="shared" si="78"/>
        <v>4523.3680000000004</v>
      </c>
      <c r="AA181" s="43"/>
      <c r="AB181" s="43"/>
      <c r="AC181" s="43"/>
      <c r="AD181" s="43">
        <f t="shared" si="68"/>
        <v>4523.3680000000004</v>
      </c>
      <c r="AE181" s="43">
        <v>5055.2</v>
      </c>
      <c r="AF181" s="43">
        <v>1500</v>
      </c>
      <c r="AG181" s="43"/>
      <c r="AH181" s="42">
        <f t="shared" si="54"/>
        <v>6555.2</v>
      </c>
      <c r="AI181" s="41">
        <f>4523.4+3478.2</f>
        <v>8001.5999999999995</v>
      </c>
      <c r="AJ181" s="40">
        <v>10383.299999999999</v>
      </c>
      <c r="AK181" s="49">
        <v>2835.2</v>
      </c>
      <c r="AL181" s="39">
        <f t="shared" si="55"/>
        <v>2835.2</v>
      </c>
      <c r="AM181" s="49"/>
      <c r="AN181" s="49">
        <f t="shared" si="56"/>
        <v>2835.2</v>
      </c>
      <c r="AO181" s="49">
        <f>12340.7/3</f>
        <v>4113.5666666666666</v>
      </c>
    </row>
    <row r="182" spans="1:41" s="18" customFormat="1" ht="20.399999999999999" x14ac:dyDescent="0.25">
      <c r="A182" s="48">
        <v>41911</v>
      </c>
      <c r="B182" s="45" t="s">
        <v>124</v>
      </c>
      <c r="C182" s="43">
        <v>19945.8</v>
      </c>
      <c r="D182" s="43">
        <f t="shared" si="69"/>
        <v>1662.1499999999999</v>
      </c>
      <c r="E182" s="43"/>
      <c r="F182" s="43"/>
      <c r="G182" s="43">
        <f t="shared" si="70"/>
        <v>4647.3714</v>
      </c>
      <c r="H182" s="44">
        <f t="shared" si="71"/>
        <v>0</v>
      </c>
      <c r="I182" s="43">
        <f>2000+1500</f>
        <v>3500</v>
      </c>
      <c r="J182" s="43"/>
      <c r="K182" s="43"/>
      <c r="L182" s="43">
        <f t="shared" si="72"/>
        <v>3500</v>
      </c>
      <c r="M182" s="43">
        <v>3500</v>
      </c>
      <c r="N182" s="43">
        <f t="shared" si="73"/>
        <v>0</v>
      </c>
      <c r="O182" s="43">
        <f t="shared" si="74"/>
        <v>100</v>
      </c>
      <c r="P182" s="43">
        <v>6000</v>
      </c>
      <c r="Q182" s="44">
        <f t="shared" si="75"/>
        <v>2.4480173611432836E-2</v>
      </c>
      <c r="R182" s="43">
        <f>6201897*Q182/100-1518.2</f>
        <v>3.5152802244738268E-2</v>
      </c>
      <c r="S182" s="43"/>
      <c r="T182" s="43"/>
      <c r="U182" s="43"/>
      <c r="V182" s="43"/>
      <c r="W182" s="43"/>
      <c r="X182" s="43">
        <f t="shared" si="77"/>
        <v>3.5152802244738268E-2</v>
      </c>
      <c r="Y182" s="43"/>
      <c r="Z182" s="43">
        <f t="shared" si="78"/>
        <v>0</v>
      </c>
      <c r="AA182" s="43"/>
      <c r="AB182" s="43"/>
      <c r="AC182" s="43">
        <v>500</v>
      </c>
      <c r="AD182" s="43">
        <f t="shared" si="68"/>
        <v>500</v>
      </c>
      <c r="AE182" s="43"/>
      <c r="AF182" s="43"/>
      <c r="AG182" s="43"/>
      <c r="AH182" s="42">
        <f t="shared" si="54"/>
        <v>0</v>
      </c>
      <c r="AI182" s="41">
        <f>1500</f>
        <v>1500</v>
      </c>
      <c r="AJ182" s="40">
        <v>0</v>
      </c>
      <c r="AK182" s="49">
        <f>10500-1500</f>
        <v>9000</v>
      </c>
      <c r="AL182" s="39">
        <f t="shared" si="55"/>
        <v>9000</v>
      </c>
      <c r="AM182" s="49"/>
      <c r="AN182" s="49">
        <f t="shared" si="56"/>
        <v>9000</v>
      </c>
      <c r="AO182" s="49"/>
    </row>
    <row r="183" spans="1:41" s="18" customFormat="1" ht="20.399999999999999" x14ac:dyDescent="0.25">
      <c r="A183" s="46">
        <v>43420</v>
      </c>
      <c r="B183" s="45" t="s">
        <v>123</v>
      </c>
      <c r="C183" s="43">
        <v>106223.4</v>
      </c>
      <c r="D183" s="43">
        <f t="shared" si="69"/>
        <v>8851.9499999999989</v>
      </c>
      <c r="E183" s="43">
        <v>5074.7</v>
      </c>
      <c r="F183" s="43">
        <v>5105.2</v>
      </c>
      <c r="G183" s="43">
        <f t="shared" si="70"/>
        <v>24750.052199999998</v>
      </c>
      <c r="H183" s="44">
        <f t="shared" si="71"/>
        <v>5.6098990628169282E-2</v>
      </c>
      <c r="I183" s="43">
        <v>10323.299999999999</v>
      </c>
      <c r="J183" s="43"/>
      <c r="K183" s="43"/>
      <c r="L183" s="43">
        <f t="shared" si="72"/>
        <v>10323.299999999999</v>
      </c>
      <c r="M183" s="43">
        <v>10056.700000000001</v>
      </c>
      <c r="N183" s="43">
        <f t="shared" si="73"/>
        <v>-266.59999999999854</v>
      </c>
      <c r="O183" s="43">
        <f t="shared" si="74"/>
        <v>97.41749246849362</v>
      </c>
      <c r="P183" s="43">
        <v>27177.7</v>
      </c>
      <c r="Q183" s="44">
        <f t="shared" si="75"/>
        <v>0.1108858023932397</v>
      </c>
      <c r="R183" s="43">
        <f>6201897*Q183/100</f>
        <v>6877.0232520522604</v>
      </c>
      <c r="S183" s="43"/>
      <c r="T183" s="43"/>
      <c r="U183" s="43"/>
      <c r="V183" s="43"/>
      <c r="W183" s="43"/>
      <c r="X183" s="43">
        <f t="shared" si="77"/>
        <v>6877.0232520522604</v>
      </c>
      <c r="Y183" s="43">
        <v>5155.8980000000001</v>
      </c>
      <c r="Z183" s="43">
        <f t="shared" si="78"/>
        <v>5155.8980000000001</v>
      </c>
      <c r="AA183" s="43"/>
      <c r="AB183" s="43"/>
      <c r="AC183" s="43"/>
      <c r="AD183" s="43">
        <f t="shared" si="68"/>
        <v>5155.8980000000001</v>
      </c>
      <c r="AE183" s="43">
        <v>7078.4</v>
      </c>
      <c r="AF183" s="43"/>
      <c r="AG183" s="43"/>
      <c r="AH183" s="42">
        <f t="shared" si="54"/>
        <v>7078.4</v>
      </c>
      <c r="AI183" s="41">
        <v>7078.4</v>
      </c>
      <c r="AJ183" s="40">
        <v>10539.8</v>
      </c>
      <c r="AK183" s="49">
        <f>18787.4-8000-3000</f>
        <v>7787.4000000000015</v>
      </c>
      <c r="AL183" s="39">
        <f t="shared" si="55"/>
        <v>7787.4000000000015</v>
      </c>
      <c r="AM183" s="49"/>
      <c r="AN183" s="49">
        <f t="shared" si="56"/>
        <v>7787.4000000000015</v>
      </c>
      <c r="AO183" s="49">
        <f>16038.5/3</f>
        <v>5346.166666666667</v>
      </c>
    </row>
    <row r="184" spans="1:41" s="18" customFormat="1" ht="20.399999999999999" x14ac:dyDescent="0.25">
      <c r="A184" s="46">
        <v>43110</v>
      </c>
      <c r="B184" s="45" t="s">
        <v>122</v>
      </c>
      <c r="C184" s="43">
        <v>120567.8</v>
      </c>
      <c r="D184" s="43">
        <f t="shared" si="69"/>
        <v>10047.316666666668</v>
      </c>
      <c r="E184" s="43">
        <v>9707.9</v>
      </c>
      <c r="F184" s="43">
        <v>9406.1</v>
      </c>
      <c r="G184" s="43">
        <f t="shared" si="70"/>
        <v>28092.297400000003</v>
      </c>
      <c r="H184" s="44">
        <f t="shared" si="71"/>
        <v>0.10533267584817413</v>
      </c>
      <c r="I184" s="43">
        <v>10299.1</v>
      </c>
      <c r="J184" s="43"/>
      <c r="K184" s="43"/>
      <c r="L184" s="43">
        <f t="shared" si="72"/>
        <v>10299.1</v>
      </c>
      <c r="M184" s="43">
        <v>10299.1</v>
      </c>
      <c r="N184" s="43">
        <f t="shared" si="73"/>
        <v>0</v>
      </c>
      <c r="O184" s="43">
        <f t="shared" si="74"/>
        <v>100</v>
      </c>
      <c r="P184" s="43">
        <v>30249.5</v>
      </c>
      <c r="Q184" s="44">
        <f t="shared" si="75"/>
        <v>0.12341883527650627</v>
      </c>
      <c r="R184" s="43">
        <f>6201897*Q184/100+2300</f>
        <v>9954.3090424485854</v>
      </c>
      <c r="S184" s="43"/>
      <c r="T184" s="43"/>
      <c r="U184" s="43"/>
      <c r="V184" s="43"/>
      <c r="W184" s="43"/>
      <c r="X184" s="43">
        <f t="shared" si="77"/>
        <v>9954.3090424485854</v>
      </c>
      <c r="Y184" s="43">
        <v>2393.931</v>
      </c>
      <c r="Z184" s="43">
        <f t="shared" si="78"/>
        <v>2393.931</v>
      </c>
      <c r="AA184" s="43"/>
      <c r="AB184" s="43"/>
      <c r="AC184" s="43"/>
      <c r="AD184" s="43">
        <f t="shared" si="68"/>
        <v>2393.931</v>
      </c>
      <c r="AE184" s="43">
        <f>17864.4-7000</f>
        <v>10864.400000000001</v>
      </c>
      <c r="AF184" s="43">
        <f>AD184+16866.9-AE184</f>
        <v>8396.4310000000005</v>
      </c>
      <c r="AG184" s="43"/>
      <c r="AH184" s="42">
        <f t="shared" si="54"/>
        <v>19260.831000000002</v>
      </c>
      <c r="AI184" s="41">
        <f>10047.3+70000</f>
        <v>80047.3</v>
      </c>
      <c r="AJ184" s="40">
        <v>13528.8</v>
      </c>
      <c r="AK184" s="49">
        <v>8900</v>
      </c>
      <c r="AL184" s="39">
        <f t="shared" si="55"/>
        <v>8900</v>
      </c>
      <c r="AM184" s="49"/>
      <c r="AN184" s="49">
        <f t="shared" si="56"/>
        <v>8900</v>
      </c>
      <c r="AO184" s="49">
        <f>8350.3/3</f>
        <v>2783.4333333333329</v>
      </c>
    </row>
    <row r="185" spans="1:41" s="18" customFormat="1" ht="20.399999999999999" x14ac:dyDescent="0.25">
      <c r="A185" s="46">
        <v>43120</v>
      </c>
      <c r="B185" s="45" t="s">
        <v>121</v>
      </c>
      <c r="C185" s="43">
        <v>10750</v>
      </c>
      <c r="D185" s="43">
        <f t="shared" si="69"/>
        <v>895.83333333333337</v>
      </c>
      <c r="E185" s="43"/>
      <c r="F185" s="43"/>
      <c r="G185" s="43">
        <f t="shared" si="70"/>
        <v>2504.75</v>
      </c>
      <c r="H185" s="44">
        <f t="shared" si="71"/>
        <v>0</v>
      </c>
      <c r="I185" s="43">
        <f>7990664.7*H185/100+895.8</f>
        <v>895.8</v>
      </c>
      <c r="J185" s="43"/>
      <c r="K185" s="43"/>
      <c r="L185" s="43">
        <f t="shared" si="72"/>
        <v>895.8</v>
      </c>
      <c r="M185" s="47"/>
      <c r="N185" s="43">
        <f t="shared" si="73"/>
        <v>-895.8</v>
      </c>
      <c r="O185" s="43">
        <f t="shared" si="74"/>
        <v>0</v>
      </c>
      <c r="P185" s="43">
        <v>3235.8</v>
      </c>
      <c r="Q185" s="44">
        <f t="shared" si="75"/>
        <v>1.3202157628645728E-2</v>
      </c>
      <c r="R185" s="43">
        <f>6201897*Q185/100</f>
        <v>818.78421790625055</v>
      </c>
      <c r="S185" s="43"/>
      <c r="T185" s="43"/>
      <c r="U185" s="43"/>
      <c r="V185" s="43"/>
      <c r="W185" s="43"/>
      <c r="X185" s="43">
        <f t="shared" si="77"/>
        <v>818.78421790625055</v>
      </c>
      <c r="Y185" s="43">
        <v>0</v>
      </c>
      <c r="Z185" s="43">
        <f t="shared" si="78"/>
        <v>0</v>
      </c>
      <c r="AA185" s="43"/>
      <c r="AB185" s="43"/>
      <c r="AC185" s="43"/>
      <c r="AD185" s="43">
        <f t="shared" si="68"/>
        <v>0</v>
      </c>
      <c r="AE185" s="43"/>
      <c r="AF185" s="43"/>
      <c r="AG185" s="43"/>
      <c r="AH185" s="42">
        <f t="shared" si="54"/>
        <v>0</v>
      </c>
      <c r="AI185" s="41"/>
      <c r="AJ185" s="40">
        <v>0</v>
      </c>
      <c r="AK185" s="49"/>
      <c r="AL185" s="39">
        <f t="shared" si="55"/>
        <v>0</v>
      </c>
      <c r="AM185" s="49"/>
      <c r="AN185" s="49">
        <f t="shared" si="56"/>
        <v>0</v>
      </c>
      <c r="AO185" s="49"/>
    </row>
    <row r="186" spans="1:41" s="18" customFormat="1" ht="20.399999999999999" x14ac:dyDescent="0.25">
      <c r="A186" s="46">
        <v>43210</v>
      </c>
      <c r="B186" s="45" t="s">
        <v>120</v>
      </c>
      <c r="C186" s="43">
        <v>9907.7999999999993</v>
      </c>
      <c r="D186" s="43">
        <f t="shared" si="69"/>
        <v>825.65</v>
      </c>
      <c r="E186" s="43">
        <v>786.8</v>
      </c>
      <c r="F186" s="43">
        <v>960.3</v>
      </c>
      <c r="G186" s="43">
        <f t="shared" si="70"/>
        <v>2308.5173999999997</v>
      </c>
      <c r="H186" s="44">
        <f t="shared" si="71"/>
        <v>9.6278496376658463E-3</v>
      </c>
      <c r="I186" s="43">
        <v>448</v>
      </c>
      <c r="J186" s="43"/>
      <c r="K186" s="43"/>
      <c r="L186" s="43">
        <f t="shared" si="72"/>
        <v>448</v>
      </c>
      <c r="M186" s="43">
        <v>448</v>
      </c>
      <c r="N186" s="43">
        <f t="shared" si="73"/>
        <v>0</v>
      </c>
      <c r="O186" s="43">
        <f t="shared" si="74"/>
        <v>100</v>
      </c>
      <c r="P186" s="43">
        <v>2578.7999999999997</v>
      </c>
      <c r="Q186" s="44">
        <f t="shared" si="75"/>
        <v>1.0521578618193831E-2</v>
      </c>
      <c r="R186" s="43">
        <f>6201897*Q186/100</f>
        <v>652.53746867440464</v>
      </c>
      <c r="S186" s="43"/>
      <c r="T186" s="43">
        <v>334.1</v>
      </c>
      <c r="U186" s="43"/>
      <c r="V186" s="43"/>
      <c r="W186" s="43"/>
      <c r="X186" s="43">
        <f t="shared" si="77"/>
        <v>986.63746867440466</v>
      </c>
      <c r="Y186" s="43">
        <v>795.29900000000009</v>
      </c>
      <c r="Z186" s="43">
        <f t="shared" si="78"/>
        <v>795.29900000000009</v>
      </c>
      <c r="AA186" s="43"/>
      <c r="AB186" s="43"/>
      <c r="AC186" s="43"/>
      <c r="AD186" s="43">
        <f t="shared" si="68"/>
        <v>795.29900000000009</v>
      </c>
      <c r="AE186" s="43">
        <v>955</v>
      </c>
      <c r="AF186" s="43"/>
      <c r="AG186" s="43"/>
      <c r="AH186" s="42">
        <f t="shared" si="54"/>
        <v>955</v>
      </c>
      <c r="AI186" s="41">
        <v>858.4</v>
      </c>
      <c r="AJ186" s="40">
        <v>912.7</v>
      </c>
      <c r="AK186" s="49">
        <f>1133.5-300</f>
        <v>833.5</v>
      </c>
      <c r="AL186" s="39">
        <f t="shared" si="55"/>
        <v>833.5</v>
      </c>
      <c r="AM186" s="49"/>
      <c r="AN186" s="49">
        <f t="shared" si="56"/>
        <v>833.5</v>
      </c>
      <c r="AO186" s="49">
        <f>2468.8/3</f>
        <v>822.93333333333339</v>
      </c>
    </row>
    <row r="187" spans="1:41" s="18" customFormat="1" ht="20.399999999999999" x14ac:dyDescent="0.25">
      <c r="A187" s="46">
        <v>43220</v>
      </c>
      <c r="B187" s="45" t="s">
        <v>119</v>
      </c>
      <c r="C187" s="43">
        <v>1856419.8</v>
      </c>
      <c r="D187" s="43">
        <f t="shared" si="69"/>
        <v>154701.65</v>
      </c>
      <c r="E187" s="43">
        <v>107464.9</v>
      </c>
      <c r="F187" s="43">
        <v>107391.6</v>
      </c>
      <c r="G187" s="43">
        <f t="shared" si="70"/>
        <v>432545.81340000004</v>
      </c>
      <c r="H187" s="44">
        <f t="shared" si="71"/>
        <v>1.1840227094471707</v>
      </c>
      <c r="I187" s="43">
        <v>49178</v>
      </c>
      <c r="J187" s="43"/>
      <c r="K187" s="43"/>
      <c r="L187" s="43">
        <f t="shared" si="72"/>
        <v>49178</v>
      </c>
      <c r="M187" s="43">
        <v>46286.2</v>
      </c>
      <c r="N187" s="43">
        <f t="shared" si="73"/>
        <v>-2891.8000000000029</v>
      </c>
      <c r="O187" s="43">
        <f t="shared" si="74"/>
        <v>94.119728333807799</v>
      </c>
      <c r="P187" s="43">
        <v>747211</v>
      </c>
      <c r="Q187" s="44">
        <f t="shared" si="75"/>
        <v>3.0486425007287234</v>
      </c>
      <c r="R187" s="43">
        <f>6201897*Q187/100-39000</f>
        <v>150073.66779341965</v>
      </c>
      <c r="S187" s="43"/>
      <c r="T187" s="43">
        <v>100000</v>
      </c>
      <c r="U187" s="43"/>
      <c r="V187" s="43"/>
      <c r="W187" s="43"/>
      <c r="X187" s="43">
        <f t="shared" si="77"/>
        <v>250073.66779341965</v>
      </c>
      <c r="Y187" s="43">
        <v>10661.966</v>
      </c>
      <c r="Z187" s="43">
        <f t="shared" si="78"/>
        <v>10661.966</v>
      </c>
      <c r="AA187" s="43"/>
      <c r="AB187" s="43"/>
      <c r="AC187" s="43">
        <v>200000</v>
      </c>
      <c r="AD187" s="43">
        <f t="shared" si="68"/>
        <v>210661.96600000001</v>
      </c>
      <c r="AE187" s="43">
        <v>14793.9</v>
      </c>
      <c r="AF187" s="43">
        <f>100000+100000</f>
        <v>200000</v>
      </c>
      <c r="AG187" s="43"/>
      <c r="AH187" s="42">
        <f t="shared" si="54"/>
        <v>214793.9</v>
      </c>
      <c r="AI187" s="41">
        <f>120617+100000</f>
        <v>220617</v>
      </c>
      <c r="AJ187" s="40">
        <v>173560</v>
      </c>
      <c r="AK187" s="49">
        <f>110000-94000</f>
        <v>16000</v>
      </c>
      <c r="AL187" s="39">
        <f t="shared" si="55"/>
        <v>16000</v>
      </c>
      <c r="AM187" s="49"/>
      <c r="AN187" s="49">
        <f t="shared" si="56"/>
        <v>16000</v>
      </c>
      <c r="AO187" s="49">
        <f>29476.4/3+100000</f>
        <v>109825.46666666667</v>
      </c>
    </row>
    <row r="188" spans="1:41" s="18" customFormat="1" ht="12.75" customHeight="1" x14ac:dyDescent="0.25">
      <c r="A188" s="46">
        <v>43320</v>
      </c>
      <c r="B188" s="45" t="s">
        <v>118</v>
      </c>
      <c r="C188" s="43">
        <v>95444.1</v>
      </c>
      <c r="D188" s="43">
        <f t="shared" si="69"/>
        <v>7953.6750000000002</v>
      </c>
      <c r="E188" s="43">
        <v>2075.6999999999998</v>
      </c>
      <c r="F188" s="43">
        <v>2297.1999999999998</v>
      </c>
      <c r="G188" s="43">
        <f t="shared" si="70"/>
        <v>22238.475300000002</v>
      </c>
      <c r="H188" s="44">
        <f t="shared" si="71"/>
        <v>2.4098004510645629E-2</v>
      </c>
      <c r="I188" s="43">
        <v>12816.6</v>
      </c>
      <c r="J188" s="43"/>
      <c r="K188" s="43"/>
      <c r="L188" s="43">
        <f t="shared" si="72"/>
        <v>12816.6</v>
      </c>
      <c r="M188" s="43">
        <v>11531.9</v>
      </c>
      <c r="N188" s="43">
        <f t="shared" si="73"/>
        <v>-1284.7000000000007</v>
      </c>
      <c r="O188" s="43">
        <f t="shared" si="74"/>
        <v>89.976280760888216</v>
      </c>
      <c r="P188" s="43">
        <v>25303.5</v>
      </c>
      <c r="Q188" s="44">
        <f t="shared" si="75"/>
        <v>0.10323901216281514</v>
      </c>
      <c r="R188" s="43">
        <f>6201897*Q188/100</f>
        <v>6402.7771981552678</v>
      </c>
      <c r="S188" s="43"/>
      <c r="T188" s="43"/>
      <c r="U188" s="43"/>
      <c r="V188" s="43"/>
      <c r="W188" s="43"/>
      <c r="X188" s="43">
        <f t="shared" si="77"/>
        <v>6402.7771981552678</v>
      </c>
      <c r="Y188" s="43">
        <v>2241.6659999999997</v>
      </c>
      <c r="Z188" s="43">
        <f t="shared" si="78"/>
        <v>2241.6659999999997</v>
      </c>
      <c r="AA188" s="43"/>
      <c r="AB188" s="43"/>
      <c r="AC188" s="43">
        <v>9000</v>
      </c>
      <c r="AD188" s="43">
        <f t="shared" si="68"/>
        <v>11241.665999999999</v>
      </c>
      <c r="AE188" s="43">
        <f>3924.5-1000</f>
        <v>2924.5</v>
      </c>
      <c r="AF188" s="43">
        <v>1111.7</v>
      </c>
      <c r="AG188" s="42">
        <v>13000</v>
      </c>
      <c r="AH188" s="42">
        <f t="shared" si="54"/>
        <v>17036.2</v>
      </c>
      <c r="AI188" s="41">
        <v>14859</v>
      </c>
      <c r="AJ188" s="40">
        <v>17734.8</v>
      </c>
      <c r="AK188" s="49">
        <v>10330.5</v>
      </c>
      <c r="AL188" s="39">
        <f t="shared" si="55"/>
        <v>10330.5</v>
      </c>
      <c r="AM188" s="49">
        <v>20000</v>
      </c>
      <c r="AN188" s="49">
        <f t="shared" si="56"/>
        <v>30330.5</v>
      </c>
      <c r="AO188" s="49">
        <f>7335.5/3</f>
        <v>2445.1666666666665</v>
      </c>
    </row>
    <row r="189" spans="1:41" s="18" customFormat="1" ht="20.399999999999999" x14ac:dyDescent="0.25">
      <c r="A189" s="46">
        <v>43510</v>
      </c>
      <c r="B189" s="45" t="s">
        <v>117</v>
      </c>
      <c r="C189" s="43">
        <v>17037.8</v>
      </c>
      <c r="D189" s="43">
        <f t="shared" si="69"/>
        <v>1419.8166666666666</v>
      </c>
      <c r="E189" s="43">
        <v>861</v>
      </c>
      <c r="F189" s="43">
        <v>1254.5999999999999</v>
      </c>
      <c r="G189" s="43">
        <f t="shared" si="70"/>
        <v>3969.8073999999997</v>
      </c>
      <c r="H189" s="44">
        <f t="shared" si="71"/>
        <v>1.165856487519081E-2</v>
      </c>
      <c r="I189" s="43">
        <v>1429.4</v>
      </c>
      <c r="J189" s="43"/>
      <c r="K189" s="43"/>
      <c r="L189" s="43">
        <f t="shared" si="72"/>
        <v>1429.4</v>
      </c>
      <c r="M189" s="43">
        <v>1429.4</v>
      </c>
      <c r="N189" s="43">
        <f t="shared" si="73"/>
        <v>0</v>
      </c>
      <c r="O189" s="43">
        <f t="shared" si="74"/>
        <v>100</v>
      </c>
      <c r="P189" s="43">
        <v>4548.8</v>
      </c>
      <c r="Q189" s="44">
        <f t="shared" si="75"/>
        <v>1.8559235620614283E-2</v>
      </c>
      <c r="R189" s="43">
        <f>6201897*Q189/100+300</f>
        <v>1451.0246771778086</v>
      </c>
      <c r="S189" s="43"/>
      <c r="T189" s="43"/>
      <c r="U189" s="43"/>
      <c r="V189" s="43"/>
      <c r="W189" s="43"/>
      <c r="X189" s="43">
        <f t="shared" si="77"/>
        <v>1451.0246771778086</v>
      </c>
      <c r="Y189" s="43">
        <v>959.96600000000001</v>
      </c>
      <c r="Z189" s="43">
        <f t="shared" si="78"/>
        <v>959.96600000000001</v>
      </c>
      <c r="AA189" s="43"/>
      <c r="AB189" s="43"/>
      <c r="AC189" s="43"/>
      <c r="AD189" s="43">
        <f t="shared" si="68"/>
        <v>959.96600000000001</v>
      </c>
      <c r="AE189" s="43">
        <f>1833.8-300</f>
        <v>1533.8</v>
      </c>
      <c r="AF189" s="43"/>
      <c r="AG189" s="43"/>
      <c r="AH189" s="42">
        <f t="shared" si="54"/>
        <v>1533.8</v>
      </c>
      <c r="AI189" s="41">
        <v>979.8</v>
      </c>
      <c r="AJ189" s="40">
        <v>1210.7</v>
      </c>
      <c r="AK189" s="49">
        <v>491.5</v>
      </c>
      <c r="AL189" s="39">
        <f t="shared" si="55"/>
        <v>491.5</v>
      </c>
      <c r="AM189" s="49"/>
      <c r="AN189" s="49">
        <f t="shared" si="56"/>
        <v>491.5</v>
      </c>
      <c r="AO189" s="49">
        <f>3003.7/3</f>
        <v>1001.2333333333332</v>
      </c>
    </row>
    <row r="190" spans="1:41" s="18" customFormat="1" ht="20.399999999999999" x14ac:dyDescent="0.25">
      <c r="A190" s="46">
        <v>43520</v>
      </c>
      <c r="B190" s="45" t="s">
        <v>116</v>
      </c>
      <c r="C190" s="43">
        <v>39322.199999999997</v>
      </c>
      <c r="D190" s="43">
        <f t="shared" si="69"/>
        <v>3276.85</v>
      </c>
      <c r="E190" s="43">
        <v>2505</v>
      </c>
      <c r="F190" s="43">
        <v>3380</v>
      </c>
      <c r="G190" s="43">
        <f t="shared" si="70"/>
        <v>9162.0725999999995</v>
      </c>
      <c r="H190" s="44">
        <f t="shared" si="71"/>
        <v>3.2430825435100175E-2</v>
      </c>
      <c r="I190" s="43">
        <v>2987.8</v>
      </c>
      <c r="J190" s="43"/>
      <c r="K190" s="43"/>
      <c r="L190" s="43">
        <f t="shared" si="72"/>
        <v>2987.8</v>
      </c>
      <c r="M190" s="43">
        <v>2987.8</v>
      </c>
      <c r="N190" s="43">
        <f t="shared" si="73"/>
        <v>0</v>
      </c>
      <c r="O190" s="43">
        <f t="shared" si="74"/>
        <v>100</v>
      </c>
      <c r="P190" s="43">
        <v>10353</v>
      </c>
      <c r="Q190" s="44">
        <f t="shared" si="75"/>
        <v>4.224053956652736E-2</v>
      </c>
      <c r="R190" s="43">
        <f>6201897*Q190/100+400</f>
        <v>3019.7147561602733</v>
      </c>
      <c r="S190" s="43"/>
      <c r="T190" s="43"/>
      <c r="U190" s="43"/>
      <c r="V190" s="43"/>
      <c r="W190" s="43"/>
      <c r="X190" s="43">
        <f t="shared" si="77"/>
        <v>3019.7147561602733</v>
      </c>
      <c r="Y190" s="43">
        <v>2823.9990000000003</v>
      </c>
      <c r="Z190" s="43">
        <f t="shared" si="78"/>
        <v>2823.9990000000003</v>
      </c>
      <c r="AA190" s="43"/>
      <c r="AB190" s="43"/>
      <c r="AC190" s="43"/>
      <c r="AD190" s="43">
        <f t="shared" si="68"/>
        <v>2823.9990000000003</v>
      </c>
      <c r="AE190" s="43">
        <f>4509.3-1000</f>
        <v>3509.3</v>
      </c>
      <c r="AF190" s="43">
        <v>550.4</v>
      </c>
      <c r="AG190" s="43"/>
      <c r="AH190" s="42">
        <f t="shared" si="54"/>
        <v>4059.7000000000003</v>
      </c>
      <c r="AI190" s="41">
        <v>3047</v>
      </c>
      <c r="AJ190" s="40">
        <v>3214.1</v>
      </c>
      <c r="AK190" s="49">
        <f>4529.2-1500</f>
        <v>3029.2</v>
      </c>
      <c r="AL190" s="39">
        <f t="shared" si="55"/>
        <v>3029.2</v>
      </c>
      <c r="AM190" s="49"/>
      <c r="AN190" s="49">
        <f t="shared" si="56"/>
        <v>3029.2</v>
      </c>
      <c r="AO190" s="49">
        <f>8725/3</f>
        <v>2908.3333333333335</v>
      </c>
    </row>
    <row r="191" spans="1:41" s="18" customFormat="1" ht="20.399999999999999" x14ac:dyDescent="0.25">
      <c r="A191" s="46">
        <v>43620</v>
      </c>
      <c r="B191" s="45" t="s">
        <v>115</v>
      </c>
      <c r="C191" s="43">
        <v>29369.9</v>
      </c>
      <c r="D191" s="43">
        <f t="shared" si="69"/>
        <v>2447.4916666666668</v>
      </c>
      <c r="E191" s="43">
        <v>2197.9</v>
      </c>
      <c r="F191" s="43">
        <v>2190.9</v>
      </c>
      <c r="G191" s="43">
        <f t="shared" si="70"/>
        <v>6843.1867000000002</v>
      </c>
      <c r="H191" s="44">
        <f t="shared" si="71"/>
        <v>2.4185625602305461E-2</v>
      </c>
      <c r="I191" s="43">
        <v>2209.3000000000002</v>
      </c>
      <c r="J191" s="43"/>
      <c r="K191" s="43"/>
      <c r="L191" s="43">
        <f t="shared" si="72"/>
        <v>2209.3000000000002</v>
      </c>
      <c r="M191" s="43">
        <v>2093.1</v>
      </c>
      <c r="N191" s="43">
        <f t="shared" si="73"/>
        <v>-116.20000000000027</v>
      </c>
      <c r="O191" s="43">
        <f t="shared" si="74"/>
        <v>94.740415516226847</v>
      </c>
      <c r="P191" s="43">
        <v>7949.9</v>
      </c>
      <c r="Q191" s="44">
        <f t="shared" si="75"/>
        <v>3.243582203225498E-2</v>
      </c>
      <c r="R191" s="43">
        <f>6201897*Q191/100</f>
        <v>2011.6362735437606</v>
      </c>
      <c r="S191" s="43"/>
      <c r="T191" s="43"/>
      <c r="U191" s="43"/>
      <c r="V191" s="43"/>
      <c r="W191" s="43"/>
      <c r="X191" s="43">
        <f t="shared" si="77"/>
        <v>2011.6362735437606</v>
      </c>
      <c r="Y191" s="43">
        <v>1766.0639999999999</v>
      </c>
      <c r="Z191" s="43">
        <f t="shared" si="78"/>
        <v>1766.0639999999999</v>
      </c>
      <c r="AA191" s="43"/>
      <c r="AB191" s="43"/>
      <c r="AC191" s="43"/>
      <c r="AD191" s="43">
        <f t="shared" si="68"/>
        <v>1766.0639999999999</v>
      </c>
      <c r="AE191" s="43">
        <v>2050</v>
      </c>
      <c r="AF191" s="43">
        <f>1423.9+232.4</f>
        <v>1656.3000000000002</v>
      </c>
      <c r="AG191" s="43"/>
      <c r="AH191" s="42">
        <f t="shared" si="54"/>
        <v>3706.3</v>
      </c>
      <c r="AI191" s="41">
        <v>2307.5</v>
      </c>
      <c r="AJ191" s="40">
        <v>3751.6</v>
      </c>
      <c r="AK191" s="49">
        <v>1568.1</v>
      </c>
      <c r="AL191" s="39">
        <f t="shared" si="55"/>
        <v>1568.1</v>
      </c>
      <c r="AM191" s="49"/>
      <c r="AN191" s="49">
        <f t="shared" si="56"/>
        <v>1568.1</v>
      </c>
      <c r="AO191" s="49">
        <f>5299/3</f>
        <v>1766.3333333333333</v>
      </c>
    </row>
    <row r="192" spans="1:41" s="18" customFormat="1" ht="20.399999999999999" x14ac:dyDescent="0.25">
      <c r="A192" s="46">
        <v>43821</v>
      </c>
      <c r="B192" s="45" t="s">
        <v>114</v>
      </c>
      <c r="C192" s="43">
        <v>11196</v>
      </c>
      <c r="D192" s="43">
        <f t="shared" si="69"/>
        <v>933</v>
      </c>
      <c r="E192" s="43">
        <v>857.8</v>
      </c>
      <c r="F192" s="43">
        <v>959.4</v>
      </c>
      <c r="G192" s="43">
        <f t="shared" si="70"/>
        <v>2608.6680000000001</v>
      </c>
      <c r="H192" s="44">
        <f t="shared" si="71"/>
        <v>1.0014153947436539E-2</v>
      </c>
      <c r="I192" s="43">
        <v>933.4</v>
      </c>
      <c r="J192" s="43"/>
      <c r="K192" s="43"/>
      <c r="L192" s="43">
        <f t="shared" si="72"/>
        <v>933.4</v>
      </c>
      <c r="M192" s="43">
        <v>933.4</v>
      </c>
      <c r="N192" s="43">
        <f t="shared" si="73"/>
        <v>0</v>
      </c>
      <c r="O192" s="43">
        <f t="shared" si="74"/>
        <v>100</v>
      </c>
      <c r="P192" s="43">
        <v>4050.5000000000005</v>
      </c>
      <c r="Q192" s="44">
        <f t="shared" si="75"/>
        <v>1.6526157202184786E-2</v>
      </c>
      <c r="R192" s="43">
        <f>6201897*Q192/100</f>
        <v>1024.9352477375821</v>
      </c>
      <c r="S192" s="43">
        <f>908-908</f>
        <v>0</v>
      </c>
      <c r="T192" s="43"/>
      <c r="U192" s="43"/>
      <c r="V192" s="43">
        <v>908</v>
      </c>
      <c r="W192" s="43"/>
      <c r="X192" s="43">
        <f t="shared" si="77"/>
        <v>1932.9352477375821</v>
      </c>
      <c r="Y192" s="43">
        <v>1246.1310000000001</v>
      </c>
      <c r="Z192" s="43">
        <f t="shared" si="78"/>
        <v>1246.1310000000001</v>
      </c>
      <c r="AA192" s="43"/>
      <c r="AB192" s="43"/>
      <c r="AC192" s="43"/>
      <c r="AD192" s="43">
        <f t="shared" si="68"/>
        <v>1246.1310000000001</v>
      </c>
      <c r="AE192" s="43">
        <v>973.4</v>
      </c>
      <c r="AF192" s="43"/>
      <c r="AG192" s="43"/>
      <c r="AH192" s="42">
        <f t="shared" si="54"/>
        <v>973.4</v>
      </c>
      <c r="AI192" s="41">
        <f>578+1023.1</f>
        <v>1601.1</v>
      </c>
      <c r="AJ192" s="49">
        <v>216.5</v>
      </c>
      <c r="AK192" s="49">
        <v>221.5</v>
      </c>
      <c r="AL192" s="39">
        <f t="shared" si="55"/>
        <v>221.5</v>
      </c>
      <c r="AM192" s="49"/>
      <c r="AN192" s="49">
        <f t="shared" si="56"/>
        <v>221.5</v>
      </c>
      <c r="AO192" s="49">
        <f>2394.9/3</f>
        <v>798.30000000000007</v>
      </c>
    </row>
    <row r="193" spans="1:41" s="18" customFormat="1" ht="20.399999999999999" x14ac:dyDescent="0.25">
      <c r="A193" s="48">
        <v>43910</v>
      </c>
      <c r="B193" s="45" t="s">
        <v>113</v>
      </c>
      <c r="C193" s="43">
        <v>823076.4</v>
      </c>
      <c r="D193" s="43">
        <f t="shared" si="69"/>
        <v>68589.7</v>
      </c>
      <c r="E193" s="43"/>
      <c r="F193" s="43"/>
      <c r="G193" s="43">
        <f t="shared" si="70"/>
        <v>191776.80120000002</v>
      </c>
      <c r="H193" s="44">
        <f t="shared" si="71"/>
        <v>0</v>
      </c>
      <c r="I193" s="43">
        <f>30000+100048.3</f>
        <v>130048.3</v>
      </c>
      <c r="J193" s="43"/>
      <c r="K193" s="43"/>
      <c r="L193" s="43">
        <f t="shared" si="72"/>
        <v>130048.3</v>
      </c>
      <c r="M193" s="43">
        <v>130048.3</v>
      </c>
      <c r="N193" s="43">
        <f t="shared" si="73"/>
        <v>0</v>
      </c>
      <c r="O193" s="43">
        <f t="shared" si="74"/>
        <v>100</v>
      </c>
      <c r="P193" s="43">
        <v>69499.999999999985</v>
      </c>
      <c r="Q193" s="44">
        <f t="shared" si="75"/>
        <v>0.28356201099909695</v>
      </c>
      <c r="R193" s="43">
        <f>6201897*Q193/100-17586.2</f>
        <v>2.3853292663261527E-2</v>
      </c>
      <c r="S193" s="43"/>
      <c r="T193" s="43"/>
      <c r="U193" s="43">
        <v>162753.60000000001</v>
      </c>
      <c r="V193" s="43"/>
      <c r="W193" s="43"/>
      <c r="X193" s="43">
        <f t="shared" si="77"/>
        <v>162753.62385329267</v>
      </c>
      <c r="Y193" s="43"/>
      <c r="Z193" s="43">
        <f t="shared" si="78"/>
        <v>0</v>
      </c>
      <c r="AA193" s="43"/>
      <c r="AB193" s="43"/>
      <c r="AC193" s="43">
        <v>147661.6</v>
      </c>
      <c r="AD193" s="43">
        <f t="shared" si="68"/>
        <v>147661.6</v>
      </c>
      <c r="AE193" s="43"/>
      <c r="AF193" s="43"/>
      <c r="AG193" s="43"/>
      <c r="AH193" s="42">
        <f t="shared" si="54"/>
        <v>0</v>
      </c>
      <c r="AI193" s="41">
        <f>54598</f>
        <v>54598</v>
      </c>
      <c r="AJ193" s="40">
        <v>0</v>
      </c>
      <c r="AK193" s="49">
        <f>78173.9-13000</f>
        <v>65173.899999999994</v>
      </c>
      <c r="AL193" s="39">
        <f t="shared" si="55"/>
        <v>65173.899999999994</v>
      </c>
      <c r="AM193" s="49"/>
      <c r="AN193" s="49">
        <f t="shared" si="56"/>
        <v>65173.899999999994</v>
      </c>
      <c r="AO193" s="49"/>
    </row>
    <row r="194" spans="1:41" s="18" customFormat="1" ht="20.399999999999999" x14ac:dyDescent="0.25">
      <c r="A194" s="46">
        <v>44110</v>
      </c>
      <c r="B194" s="45" t="s">
        <v>112</v>
      </c>
      <c r="C194" s="43">
        <v>15492.6</v>
      </c>
      <c r="D194" s="43">
        <f t="shared" si="69"/>
        <v>1291.05</v>
      </c>
      <c r="E194" s="43">
        <v>1013</v>
      </c>
      <c r="F194" s="43">
        <v>1577.4</v>
      </c>
      <c r="G194" s="43">
        <f t="shared" si="70"/>
        <v>3609.7758000000003</v>
      </c>
      <c r="H194" s="44">
        <f t="shared" si="71"/>
        <v>1.4275073951925826E-2</v>
      </c>
      <c r="I194" s="43">
        <v>969.7</v>
      </c>
      <c r="J194" s="43"/>
      <c r="K194" s="43"/>
      <c r="L194" s="43">
        <f t="shared" si="72"/>
        <v>969.7</v>
      </c>
      <c r="M194" s="43">
        <v>655.6</v>
      </c>
      <c r="N194" s="43">
        <f t="shared" si="73"/>
        <v>-314.10000000000002</v>
      </c>
      <c r="O194" s="43">
        <f t="shared" si="74"/>
        <v>67.608538723316485</v>
      </c>
      <c r="P194" s="43">
        <v>4047.5000000000005</v>
      </c>
      <c r="Q194" s="44">
        <f t="shared" si="75"/>
        <v>1.651391711537907E-2</v>
      </c>
      <c r="R194" s="43">
        <f>6201897*Q194/100</f>
        <v>1024.1761301611812</v>
      </c>
      <c r="S194" s="43"/>
      <c r="T194" s="43"/>
      <c r="U194" s="43"/>
      <c r="V194" s="43"/>
      <c r="W194" s="43"/>
      <c r="X194" s="43">
        <f t="shared" si="77"/>
        <v>1024.1761301611812</v>
      </c>
      <c r="Y194" s="43">
        <v>1247.5340000000001</v>
      </c>
      <c r="Z194" s="43">
        <f t="shared" si="78"/>
        <v>1247.5340000000001</v>
      </c>
      <c r="AA194" s="43"/>
      <c r="AB194" s="43"/>
      <c r="AC194" s="43">
        <v>457.3</v>
      </c>
      <c r="AD194" s="43">
        <f t="shared" si="68"/>
        <v>1704.8340000000001</v>
      </c>
      <c r="AE194" s="43">
        <v>1570.4</v>
      </c>
      <c r="AF194" s="43"/>
      <c r="AG194" s="43"/>
      <c r="AH194" s="42">
        <f t="shared" ref="AH194:AH245" si="79">AE194+AF194+AG194</f>
        <v>1570.4</v>
      </c>
      <c r="AI194" s="41">
        <v>1349.7</v>
      </c>
      <c r="AJ194" s="40">
        <v>2001</v>
      </c>
      <c r="AK194" s="49">
        <f>1411.5-200</f>
        <v>1211.5</v>
      </c>
      <c r="AL194" s="39">
        <f t="shared" si="55"/>
        <v>1211.5</v>
      </c>
      <c r="AM194" s="49"/>
      <c r="AN194" s="49">
        <f t="shared" si="56"/>
        <v>1211.5</v>
      </c>
      <c r="AO194" s="49">
        <f>2327.1/3</f>
        <v>775.69999999999993</v>
      </c>
    </row>
    <row r="195" spans="1:41" s="18" customFormat="1" ht="20.399999999999999" x14ac:dyDescent="0.25">
      <c r="A195" s="46">
        <v>44121</v>
      </c>
      <c r="B195" s="45" t="s">
        <v>111</v>
      </c>
      <c r="C195" s="43">
        <f>696592.3+447232.5</f>
        <v>1143824.8</v>
      </c>
      <c r="D195" s="43">
        <f t="shared" si="69"/>
        <v>95318.733333333337</v>
      </c>
      <c r="E195" s="43">
        <v>78415.600000000006</v>
      </c>
      <c r="F195" s="43">
        <v>127085.3</v>
      </c>
      <c r="G195" s="43">
        <f t="shared" si="70"/>
        <v>266511.17840000003</v>
      </c>
      <c r="H195" s="44">
        <f t="shared" si="71"/>
        <v>1.1324662386841082</v>
      </c>
      <c r="I195" s="43">
        <f>7990664.7*H195/100</f>
        <v>90491.579973948785</v>
      </c>
      <c r="J195" s="43"/>
      <c r="K195" s="43"/>
      <c r="L195" s="43">
        <f t="shared" si="72"/>
        <v>90491.579973948785</v>
      </c>
      <c r="M195" s="43">
        <v>90491.6</v>
      </c>
      <c r="N195" s="43">
        <f t="shared" si="73"/>
        <v>2.0026051221066155E-2</v>
      </c>
      <c r="O195" s="43">
        <f t="shared" si="74"/>
        <v>100.00002213029238</v>
      </c>
      <c r="P195" s="43">
        <v>375792.3</v>
      </c>
      <c r="Q195" s="44">
        <f t="shared" si="75"/>
        <v>1.5332434576399421</v>
      </c>
      <c r="R195" s="43">
        <f>6201897*Q195/100</f>
        <v>95090.180002067835</v>
      </c>
      <c r="S195" s="43"/>
      <c r="T195" s="43">
        <v>30000</v>
      </c>
      <c r="U195" s="43"/>
      <c r="V195" s="43"/>
      <c r="W195" s="43"/>
      <c r="X195" s="43">
        <f t="shared" si="77"/>
        <v>125090.18000206783</v>
      </c>
      <c r="Y195" s="43">
        <v>109891.53300000001</v>
      </c>
      <c r="Z195" s="43">
        <f t="shared" si="78"/>
        <v>109891.53300000001</v>
      </c>
      <c r="AA195" s="43"/>
      <c r="AB195" s="43"/>
      <c r="AC195" s="43">
        <v>28047.7</v>
      </c>
      <c r="AD195" s="43">
        <f t="shared" si="68"/>
        <v>137939.23300000001</v>
      </c>
      <c r="AE195" s="43">
        <v>157943.9</v>
      </c>
      <c r="AF195" s="43"/>
      <c r="AG195" s="43"/>
      <c r="AH195" s="42">
        <f t="shared" si="79"/>
        <v>157943.9</v>
      </c>
      <c r="AI195" s="41">
        <v>90720</v>
      </c>
      <c r="AJ195" s="40">
        <v>192540.7</v>
      </c>
      <c r="AK195" s="49">
        <f>150000-60000</f>
        <v>90000</v>
      </c>
      <c r="AL195" s="39">
        <f t="shared" ref="AL195:AL258" si="80">AK195</f>
        <v>90000</v>
      </c>
      <c r="AM195" s="49"/>
      <c r="AN195" s="49">
        <f t="shared" ref="AN195:AN258" si="81">AK195+AM195</f>
        <v>90000</v>
      </c>
      <c r="AO195" s="49">
        <f>281901.1/3</f>
        <v>93967.033333333326</v>
      </c>
    </row>
    <row r="196" spans="1:41" s="18" customFormat="1" ht="13.5" customHeight="1" x14ac:dyDescent="0.25">
      <c r="A196" s="46">
        <v>44210</v>
      </c>
      <c r="B196" s="45" t="s">
        <v>110</v>
      </c>
      <c r="C196" s="43">
        <v>7793.4</v>
      </c>
      <c r="D196" s="43">
        <f t="shared" si="69"/>
        <v>649.44999999999993</v>
      </c>
      <c r="E196" s="43">
        <v>234.1</v>
      </c>
      <c r="F196" s="43">
        <v>343.1</v>
      </c>
      <c r="G196" s="43">
        <f t="shared" si="70"/>
        <v>1815.8622</v>
      </c>
      <c r="H196" s="44">
        <f t="shared" si="71"/>
        <v>3.1808109500662393E-3</v>
      </c>
      <c r="I196" s="43">
        <v>701</v>
      </c>
      <c r="J196" s="43"/>
      <c r="K196" s="43"/>
      <c r="L196" s="43">
        <f t="shared" si="72"/>
        <v>701</v>
      </c>
      <c r="M196" s="43">
        <v>701</v>
      </c>
      <c r="N196" s="43">
        <f t="shared" si="73"/>
        <v>0</v>
      </c>
      <c r="O196" s="43">
        <f t="shared" si="74"/>
        <v>100</v>
      </c>
      <c r="P196" s="43">
        <v>2212.6000000000004</v>
      </c>
      <c r="Q196" s="44">
        <f t="shared" si="75"/>
        <v>9.0274720221093837E-3</v>
      </c>
      <c r="R196" s="43">
        <f>6201897*Q196/100</f>
        <v>559.87451651504114</v>
      </c>
      <c r="S196" s="43"/>
      <c r="T196" s="43"/>
      <c r="U196" s="43"/>
      <c r="V196" s="43"/>
      <c r="W196" s="43"/>
      <c r="X196" s="43">
        <f t="shared" si="77"/>
        <v>559.87451651504114</v>
      </c>
      <c r="Y196" s="43">
        <v>253.2</v>
      </c>
      <c r="Z196" s="43">
        <f t="shared" si="78"/>
        <v>253.2</v>
      </c>
      <c r="AA196" s="43"/>
      <c r="AB196" s="43"/>
      <c r="AC196" s="43">
        <f>700+140+250</f>
        <v>1090</v>
      </c>
      <c r="AD196" s="43">
        <f t="shared" si="68"/>
        <v>1343.2</v>
      </c>
      <c r="AE196" s="43">
        <v>294.5</v>
      </c>
      <c r="AF196" s="43"/>
      <c r="AG196" s="43"/>
      <c r="AH196" s="42">
        <v>294.5</v>
      </c>
      <c r="AI196" s="41">
        <f>749.5+1000</f>
        <v>1749.5</v>
      </c>
      <c r="AJ196" s="40">
        <v>2928.6</v>
      </c>
      <c r="AK196" s="49">
        <f>1584-700</f>
        <v>884</v>
      </c>
      <c r="AL196" s="39">
        <f t="shared" si="80"/>
        <v>884</v>
      </c>
      <c r="AM196" s="49"/>
      <c r="AN196" s="49">
        <f t="shared" si="81"/>
        <v>884</v>
      </c>
      <c r="AO196" s="49">
        <f>756.7/3</f>
        <v>252.23333333333335</v>
      </c>
    </row>
    <row r="197" spans="1:41" s="18" customFormat="1" ht="20.399999999999999" x14ac:dyDescent="0.25">
      <c r="A197" s="46">
        <v>44320</v>
      </c>
      <c r="B197" s="45" t="s">
        <v>109</v>
      </c>
      <c r="C197" s="43">
        <v>792.7</v>
      </c>
      <c r="D197" s="43">
        <f t="shared" si="69"/>
        <v>66.058333333333337</v>
      </c>
      <c r="E197" s="43">
        <v>52.1</v>
      </c>
      <c r="F197" s="43">
        <v>52.2</v>
      </c>
      <c r="G197" s="43">
        <f t="shared" si="70"/>
        <v>184.69909999999999</v>
      </c>
      <c r="H197" s="44">
        <f t="shared" si="71"/>
        <v>5.7477231824655029E-4</v>
      </c>
      <c r="I197" s="43">
        <v>73.7</v>
      </c>
      <c r="J197" s="43"/>
      <c r="K197" s="43"/>
      <c r="L197" s="43">
        <f t="shared" si="72"/>
        <v>73.7</v>
      </c>
      <c r="M197" s="43">
        <v>73.7</v>
      </c>
      <c r="N197" s="43">
        <f t="shared" si="73"/>
        <v>0</v>
      </c>
      <c r="O197" s="43">
        <f t="shared" si="74"/>
        <v>100</v>
      </c>
      <c r="P197" s="43">
        <v>201.7</v>
      </c>
      <c r="Q197" s="44">
        <f t="shared" si="75"/>
        <v>8.2294183623766721E-4</v>
      </c>
      <c r="R197" s="43">
        <f>6201897*Q197/100+2</f>
        <v>53.038005053368799</v>
      </c>
      <c r="S197" s="43"/>
      <c r="T197" s="43"/>
      <c r="U197" s="43"/>
      <c r="V197" s="43"/>
      <c r="W197" s="43"/>
      <c r="X197" s="43">
        <f t="shared" si="77"/>
        <v>53.038005053368799</v>
      </c>
      <c r="Y197" s="43">
        <v>54.7</v>
      </c>
      <c r="Z197" s="43">
        <f t="shared" si="78"/>
        <v>54.7</v>
      </c>
      <c r="AA197" s="43"/>
      <c r="AB197" s="43"/>
      <c r="AC197" s="43"/>
      <c r="AD197" s="43">
        <f t="shared" si="68"/>
        <v>54.7</v>
      </c>
      <c r="AE197" s="43">
        <v>81.099999999999994</v>
      </c>
      <c r="AF197" s="43"/>
      <c r="AG197" s="43"/>
      <c r="AH197" s="42">
        <f t="shared" si="79"/>
        <v>81.099999999999994</v>
      </c>
      <c r="AI197" s="41">
        <v>69</v>
      </c>
      <c r="AJ197" s="40">
        <v>60.7</v>
      </c>
      <c r="AK197" s="49">
        <v>86.4</v>
      </c>
      <c r="AL197" s="39">
        <f t="shared" si="80"/>
        <v>86.4</v>
      </c>
      <c r="AM197" s="49"/>
      <c r="AN197" s="49">
        <f t="shared" si="81"/>
        <v>86.4</v>
      </c>
      <c r="AO197" s="49">
        <f>199/3</f>
        <v>66.333333333333329</v>
      </c>
    </row>
    <row r="198" spans="1:41" s="18" customFormat="1" ht="20.399999999999999" x14ac:dyDescent="0.25">
      <c r="A198" s="46">
        <v>44410</v>
      </c>
      <c r="B198" s="45" t="s">
        <v>108</v>
      </c>
      <c r="C198" s="43">
        <v>3314</v>
      </c>
      <c r="D198" s="43">
        <f t="shared" si="69"/>
        <v>276.16666666666669</v>
      </c>
      <c r="E198" s="43">
        <v>188.9</v>
      </c>
      <c r="F198" s="43">
        <v>298.7</v>
      </c>
      <c r="G198" s="43">
        <f t="shared" si="70"/>
        <v>772.16199999999992</v>
      </c>
      <c r="H198" s="44">
        <f t="shared" si="71"/>
        <v>2.6870468109014179E-3</v>
      </c>
      <c r="I198" s="43">
        <v>307.7</v>
      </c>
      <c r="J198" s="43"/>
      <c r="K198" s="43"/>
      <c r="L198" s="43">
        <f t="shared" si="72"/>
        <v>307.7</v>
      </c>
      <c r="M198" s="43">
        <v>307.7</v>
      </c>
      <c r="N198" s="43">
        <f t="shared" si="73"/>
        <v>0</v>
      </c>
      <c r="O198" s="43">
        <f t="shared" si="74"/>
        <v>100</v>
      </c>
      <c r="P198" s="43">
        <v>858.3</v>
      </c>
      <c r="Q198" s="44">
        <f t="shared" si="75"/>
        <v>3.5018888351154671E-3</v>
      </c>
      <c r="R198" s="43">
        <f>6201897*Q198/100+100</f>
        <v>317.18353860836112</v>
      </c>
      <c r="S198" s="43"/>
      <c r="T198" s="43"/>
      <c r="U198" s="43"/>
      <c r="V198" s="43"/>
      <c r="W198" s="43"/>
      <c r="X198" s="43">
        <f t="shared" si="77"/>
        <v>317.18353860836112</v>
      </c>
      <c r="Y198" s="43">
        <v>256.79999999999995</v>
      </c>
      <c r="Z198" s="43">
        <f t="shared" si="78"/>
        <v>256.79999999999995</v>
      </c>
      <c r="AA198" s="43"/>
      <c r="AB198" s="43"/>
      <c r="AC198" s="43"/>
      <c r="AD198" s="43">
        <f t="shared" si="68"/>
        <v>256.79999999999995</v>
      </c>
      <c r="AE198" s="43">
        <v>218.7</v>
      </c>
      <c r="AF198" s="43">
        <v>1000</v>
      </c>
      <c r="AG198" s="43"/>
      <c r="AH198" s="42">
        <f t="shared" si="79"/>
        <v>1218.7</v>
      </c>
      <c r="AI198" s="41">
        <v>326.10000000000002</v>
      </c>
      <c r="AJ198" s="40">
        <v>305.5</v>
      </c>
      <c r="AK198" s="49">
        <f>736.8-400</f>
        <v>336.79999999999995</v>
      </c>
      <c r="AL198" s="39">
        <f t="shared" si="80"/>
        <v>336.79999999999995</v>
      </c>
      <c r="AM198" s="49"/>
      <c r="AN198" s="49">
        <f t="shared" si="81"/>
        <v>336.79999999999995</v>
      </c>
      <c r="AO198" s="49">
        <f>768.6/3</f>
        <v>256.2</v>
      </c>
    </row>
    <row r="199" spans="1:41" s="18" customFormat="1" ht="20.399999999999999" x14ac:dyDescent="0.25">
      <c r="A199" s="46">
        <v>44420</v>
      </c>
      <c r="B199" s="45" t="s">
        <v>107</v>
      </c>
      <c r="C199" s="43">
        <v>41353.5</v>
      </c>
      <c r="D199" s="43">
        <f t="shared" si="69"/>
        <v>3446.125</v>
      </c>
      <c r="E199" s="43">
        <v>1547.5</v>
      </c>
      <c r="F199" s="43">
        <v>1590.7</v>
      </c>
      <c r="G199" s="43">
        <f t="shared" si="70"/>
        <v>9635.3654999999999</v>
      </c>
      <c r="H199" s="44">
        <f t="shared" si="71"/>
        <v>1.7293868543828608E-2</v>
      </c>
      <c r="I199" s="43">
        <v>3898.2</v>
      </c>
      <c r="J199" s="43"/>
      <c r="K199" s="43"/>
      <c r="L199" s="43">
        <f t="shared" si="72"/>
        <v>3898.2</v>
      </c>
      <c r="M199" s="43">
        <v>3898.2</v>
      </c>
      <c r="N199" s="43">
        <f t="shared" si="73"/>
        <v>0</v>
      </c>
      <c r="O199" s="43">
        <f t="shared" si="74"/>
        <v>100</v>
      </c>
      <c r="P199" s="43">
        <v>11737.500000000002</v>
      </c>
      <c r="Q199" s="44">
        <f t="shared" si="75"/>
        <v>4.7889339627365496E-2</v>
      </c>
      <c r="R199" s="43">
        <f>6201897*Q199/100</f>
        <v>2970.0475176693917</v>
      </c>
      <c r="S199" s="43"/>
      <c r="T199" s="43"/>
      <c r="U199" s="43"/>
      <c r="V199" s="43"/>
      <c r="W199" s="43"/>
      <c r="X199" s="43">
        <f t="shared" si="77"/>
        <v>2970.0475176693917</v>
      </c>
      <c r="Y199" s="43">
        <v>1669.2329999999999</v>
      </c>
      <c r="Z199" s="43">
        <f t="shared" si="78"/>
        <v>1669.2329999999999</v>
      </c>
      <c r="AA199" s="43"/>
      <c r="AB199" s="43"/>
      <c r="AC199" s="43"/>
      <c r="AD199" s="43">
        <f t="shared" si="68"/>
        <v>1669.2329999999999</v>
      </c>
      <c r="AE199" s="43">
        <v>2074.8000000000002</v>
      </c>
      <c r="AF199" s="43"/>
      <c r="AG199" s="43"/>
      <c r="AH199" s="42">
        <f t="shared" si="79"/>
        <v>2074.8000000000002</v>
      </c>
      <c r="AI199" s="41">
        <v>2074.8000000000002</v>
      </c>
      <c r="AJ199" s="40">
        <v>3922.2</v>
      </c>
      <c r="AK199" s="49">
        <f>6000-3000</f>
        <v>3000</v>
      </c>
      <c r="AL199" s="39">
        <f t="shared" si="80"/>
        <v>3000</v>
      </c>
      <c r="AM199" s="49"/>
      <c r="AN199" s="49">
        <f t="shared" si="81"/>
        <v>3000</v>
      </c>
      <c r="AO199" s="49">
        <f>5339.4/3</f>
        <v>1779.8</v>
      </c>
    </row>
    <row r="200" spans="1:41" s="18" customFormat="1" ht="20.399999999999999" x14ac:dyDescent="0.25">
      <c r="A200" s="46">
        <v>44521</v>
      </c>
      <c r="B200" s="45" t="s">
        <v>106</v>
      </c>
      <c r="C200" s="43">
        <v>19246.5</v>
      </c>
      <c r="D200" s="43">
        <f t="shared" si="69"/>
        <v>1603.875</v>
      </c>
      <c r="E200" s="43">
        <v>1271.2</v>
      </c>
      <c r="F200" s="43">
        <v>1203.7</v>
      </c>
      <c r="G200" s="43">
        <f t="shared" si="70"/>
        <v>4484.4345000000003</v>
      </c>
      <c r="H200" s="44">
        <f t="shared" si="71"/>
        <v>1.3638581116283674E-2</v>
      </c>
      <c r="I200" s="43">
        <f>7990664.7*H200/100+200</f>
        <v>1289.8132868397456</v>
      </c>
      <c r="J200" s="43"/>
      <c r="K200" s="43"/>
      <c r="L200" s="43">
        <f t="shared" si="72"/>
        <v>1289.8132868397456</v>
      </c>
      <c r="M200" s="43">
        <v>1289.8</v>
      </c>
      <c r="N200" s="43">
        <f t="shared" si="73"/>
        <v>-1.3286839745660473E-2</v>
      </c>
      <c r="O200" s="43">
        <f t="shared" si="74"/>
        <v>99.998969863321989</v>
      </c>
      <c r="P200" s="43">
        <v>4987.4000000000005</v>
      </c>
      <c r="Q200" s="44">
        <f t="shared" si="75"/>
        <v>2.0348736311610022E-2</v>
      </c>
      <c r="R200" s="43">
        <f>6201897*Q200/100</f>
        <v>1262.0076668476527</v>
      </c>
      <c r="S200" s="43"/>
      <c r="T200" s="43"/>
      <c r="U200" s="43"/>
      <c r="V200" s="43"/>
      <c r="W200" s="43"/>
      <c r="X200" s="43">
        <f t="shared" si="77"/>
        <v>1262.0076668476527</v>
      </c>
      <c r="Y200" s="43">
        <v>1507.001</v>
      </c>
      <c r="Z200" s="43">
        <f t="shared" si="78"/>
        <v>1507.001</v>
      </c>
      <c r="AA200" s="43"/>
      <c r="AB200" s="43"/>
      <c r="AC200" s="43"/>
      <c r="AD200" s="43">
        <f t="shared" si="68"/>
        <v>1507.001</v>
      </c>
      <c r="AE200" s="43">
        <v>1810</v>
      </c>
      <c r="AF200" s="43"/>
      <c r="AG200" s="43"/>
      <c r="AH200" s="42">
        <f t="shared" si="79"/>
        <v>1810</v>
      </c>
      <c r="AI200" s="41">
        <v>1810</v>
      </c>
      <c r="AJ200" s="40">
        <v>1499.1</v>
      </c>
      <c r="AK200" s="49"/>
      <c r="AL200" s="39">
        <f t="shared" si="80"/>
        <v>0</v>
      </c>
      <c r="AM200" s="49"/>
      <c r="AN200" s="49">
        <f t="shared" si="81"/>
        <v>0</v>
      </c>
      <c r="AO200" s="49">
        <f>4088.7/3</f>
        <v>1362.8999999999999</v>
      </c>
    </row>
    <row r="201" spans="1:41" s="18" customFormat="1" ht="20.399999999999999" x14ac:dyDescent="0.25">
      <c r="A201" s="46">
        <v>44620</v>
      </c>
      <c r="B201" s="45" t="s">
        <v>105</v>
      </c>
      <c r="C201" s="43">
        <v>948.7</v>
      </c>
      <c r="D201" s="43">
        <f t="shared" si="69"/>
        <v>79.058333333333337</v>
      </c>
      <c r="E201" s="43">
        <v>37.799999999999997</v>
      </c>
      <c r="F201" s="43">
        <v>37.799999999999997</v>
      </c>
      <c r="G201" s="43">
        <f t="shared" si="70"/>
        <v>221.04710000000003</v>
      </c>
      <c r="H201" s="44">
        <f t="shared" si="71"/>
        <v>4.166134924203182E-4</v>
      </c>
      <c r="I201" s="43">
        <v>147.69999999999999</v>
      </c>
      <c r="J201" s="43"/>
      <c r="K201" s="43"/>
      <c r="L201" s="43">
        <f t="shared" si="72"/>
        <v>147.69999999999999</v>
      </c>
      <c r="M201" s="43">
        <v>147.69999999999999</v>
      </c>
      <c r="N201" s="43">
        <f t="shared" si="73"/>
        <v>0</v>
      </c>
      <c r="O201" s="43">
        <f t="shared" si="74"/>
        <v>100</v>
      </c>
      <c r="P201" s="43">
        <v>246.2</v>
      </c>
      <c r="Q201" s="44">
        <f t="shared" si="75"/>
        <v>1.004503123855794E-3</v>
      </c>
      <c r="R201" s="43">
        <f>6201897*Q201/100</f>
        <v>62.298249103318774</v>
      </c>
      <c r="S201" s="43"/>
      <c r="T201" s="43"/>
      <c r="U201" s="43"/>
      <c r="V201" s="43"/>
      <c r="W201" s="43"/>
      <c r="X201" s="43">
        <f t="shared" si="77"/>
        <v>62.298249103318774</v>
      </c>
      <c r="Y201" s="43">
        <v>80.766999999999996</v>
      </c>
      <c r="Z201" s="43">
        <f t="shared" si="78"/>
        <v>80.766999999999996</v>
      </c>
      <c r="AA201" s="43"/>
      <c r="AB201" s="43"/>
      <c r="AC201" s="43"/>
      <c r="AD201" s="43">
        <f t="shared" si="68"/>
        <v>80.766999999999996</v>
      </c>
      <c r="AE201" s="43">
        <v>99.2</v>
      </c>
      <c r="AF201" s="43"/>
      <c r="AG201" s="42">
        <v>3.9</v>
      </c>
      <c r="AH201" s="42">
        <f t="shared" si="79"/>
        <v>103.10000000000001</v>
      </c>
      <c r="AI201" s="41">
        <v>79</v>
      </c>
      <c r="AJ201" s="40">
        <v>230</v>
      </c>
      <c r="AK201" s="49">
        <f>173.5-100</f>
        <v>73.5</v>
      </c>
      <c r="AL201" s="39">
        <f t="shared" si="80"/>
        <v>73.5</v>
      </c>
      <c r="AM201" s="49">
        <v>271.60000000000002</v>
      </c>
      <c r="AN201" s="49">
        <f t="shared" si="81"/>
        <v>345.1</v>
      </c>
      <c r="AO201" s="49">
        <f>242.6/3</f>
        <v>80.86666666666666</v>
      </c>
    </row>
    <row r="202" spans="1:41" s="18" customFormat="1" ht="20.399999999999999" x14ac:dyDescent="0.25">
      <c r="A202" s="46">
        <v>44710</v>
      </c>
      <c r="B202" s="45" t="s">
        <v>104</v>
      </c>
      <c r="C202" s="43">
        <v>4553.7</v>
      </c>
      <c r="D202" s="43">
        <f t="shared" si="69"/>
        <v>379.47499999999997</v>
      </c>
      <c r="E202" s="43">
        <v>158.30000000000001</v>
      </c>
      <c r="F202" s="43">
        <v>197.8</v>
      </c>
      <c r="G202" s="43">
        <f t="shared" si="70"/>
        <v>1061.0120999999999</v>
      </c>
      <c r="H202" s="44">
        <f t="shared" si="71"/>
        <v>1.9623818075512611E-3</v>
      </c>
      <c r="I202" s="43">
        <f>7990664.7*H202/100+50</f>
        <v>206.80735037522055</v>
      </c>
      <c r="J202" s="43"/>
      <c r="K202" s="43"/>
      <c r="L202" s="43">
        <f t="shared" si="72"/>
        <v>206.80735037522055</v>
      </c>
      <c r="M202" s="43">
        <v>206.8</v>
      </c>
      <c r="N202" s="43">
        <f t="shared" si="73"/>
        <v>-7.3503752205397177E-3</v>
      </c>
      <c r="O202" s="43">
        <f t="shared" si="74"/>
        <v>99.996445786280233</v>
      </c>
      <c r="P202" s="43">
        <v>1272.5</v>
      </c>
      <c r="Q202" s="44">
        <f t="shared" si="75"/>
        <v>5.1918368200913811E-3</v>
      </c>
      <c r="R202" s="43">
        <f>6201897*Q202/100-100</f>
        <v>221.99237199014277</v>
      </c>
      <c r="S202" s="43">
        <f>491.4-491.4</f>
        <v>0</v>
      </c>
      <c r="T202" s="43">
        <f>491.4-100</f>
        <v>391.4</v>
      </c>
      <c r="U202" s="43"/>
      <c r="V202" s="43"/>
      <c r="W202" s="43"/>
      <c r="X202" s="43">
        <f t="shared" si="77"/>
        <v>613.39237199014269</v>
      </c>
      <c r="Y202" s="43">
        <v>225.03300000000002</v>
      </c>
      <c r="Z202" s="43">
        <f t="shared" si="78"/>
        <v>225.03300000000002</v>
      </c>
      <c r="AA202" s="43"/>
      <c r="AB202" s="43"/>
      <c r="AC202" s="43"/>
      <c r="AD202" s="43">
        <f t="shared" si="68"/>
        <v>225.03300000000002</v>
      </c>
      <c r="AE202" s="43">
        <v>211.8</v>
      </c>
      <c r="AF202" s="43"/>
      <c r="AG202" s="43"/>
      <c r="AH202" s="42">
        <f t="shared" si="79"/>
        <v>211.8</v>
      </c>
      <c r="AI202" s="41">
        <v>225</v>
      </c>
      <c r="AJ202" s="40">
        <v>7898.5</v>
      </c>
      <c r="AK202" s="49">
        <f>2718.8-2300</f>
        <v>418.80000000000018</v>
      </c>
      <c r="AL202" s="39">
        <f t="shared" si="80"/>
        <v>418.80000000000018</v>
      </c>
      <c r="AM202" s="49"/>
      <c r="AN202" s="49">
        <f t="shared" si="81"/>
        <v>418.80000000000018</v>
      </c>
      <c r="AO202" s="49">
        <f>678.7/3</f>
        <v>226.23333333333335</v>
      </c>
    </row>
    <row r="203" spans="1:41" s="18" customFormat="1" ht="20.399999999999999" x14ac:dyDescent="0.25">
      <c r="A203" s="46">
        <v>44721</v>
      </c>
      <c r="B203" s="45" t="s">
        <v>103</v>
      </c>
      <c r="C203" s="43">
        <v>348314.7</v>
      </c>
      <c r="D203" s="43">
        <f t="shared" si="69"/>
        <v>29026.225000000002</v>
      </c>
      <c r="E203" s="43">
        <v>13132.9</v>
      </c>
      <c r="F203" s="43">
        <v>9254.9</v>
      </c>
      <c r="G203" s="43">
        <f t="shared" si="70"/>
        <v>81157.325100000002</v>
      </c>
      <c r="H203" s="44">
        <f t="shared" si="71"/>
        <v>0.12337380351332805</v>
      </c>
      <c r="I203" s="43">
        <f>7990664.7*H203/100+1300</f>
        <v>11158.386966386865</v>
      </c>
      <c r="J203" s="43"/>
      <c r="K203" s="43"/>
      <c r="L203" s="43">
        <f t="shared" si="72"/>
        <v>11158.386966386865</v>
      </c>
      <c r="M203" s="43">
        <v>11152.9</v>
      </c>
      <c r="N203" s="43">
        <f t="shared" si="73"/>
        <v>-5.4869663868648786</v>
      </c>
      <c r="O203" s="43">
        <f t="shared" si="74"/>
        <v>99.950826527137011</v>
      </c>
      <c r="P203" s="43">
        <v>129635.1</v>
      </c>
      <c r="Q203" s="44">
        <f t="shared" si="75"/>
        <v>0.52891495902257613</v>
      </c>
      <c r="R203" s="43">
        <f>6201897*Q203/100-20000</f>
        <v>12802.76097617238</v>
      </c>
      <c r="S203" s="43">
        <f>6309.1-6309.1</f>
        <v>0</v>
      </c>
      <c r="T203" s="43"/>
      <c r="U203" s="43"/>
      <c r="V203" s="43"/>
      <c r="W203" s="43"/>
      <c r="X203" s="43">
        <f t="shared" si="77"/>
        <v>12802.76097617238</v>
      </c>
      <c r="Y203" s="43">
        <v>13139.965999999999</v>
      </c>
      <c r="Z203" s="43">
        <f t="shared" si="78"/>
        <v>13139.965999999999</v>
      </c>
      <c r="AA203" s="43">
        <v>50000</v>
      </c>
      <c r="AB203" s="43"/>
      <c r="AC203" s="43"/>
      <c r="AD203" s="43">
        <f t="shared" si="68"/>
        <v>63139.966</v>
      </c>
      <c r="AE203" s="43">
        <f>19438.9-5000</f>
        <v>14438.900000000001</v>
      </c>
      <c r="AF203" s="43"/>
      <c r="AG203" s="43"/>
      <c r="AH203" s="42">
        <f t="shared" si="79"/>
        <v>14438.900000000001</v>
      </c>
      <c r="AI203" s="41">
        <v>14438.9</v>
      </c>
      <c r="AJ203" s="40">
        <v>13210.5</v>
      </c>
      <c r="AK203" s="49">
        <f>20117.4-10000</f>
        <v>10117.400000000001</v>
      </c>
      <c r="AL203" s="39">
        <f t="shared" si="80"/>
        <v>10117.400000000001</v>
      </c>
      <c r="AM203" s="49"/>
      <c r="AN203" s="49">
        <f t="shared" si="81"/>
        <v>10117.400000000001</v>
      </c>
      <c r="AO203" s="49">
        <f>39420/3</f>
        <v>13140</v>
      </c>
    </row>
    <row r="204" spans="1:41" s="18" customFormat="1" ht="30.6" x14ac:dyDescent="0.25">
      <c r="A204" s="46">
        <v>44731</v>
      </c>
      <c r="B204" s="45" t="s">
        <v>102</v>
      </c>
      <c r="C204" s="43">
        <v>45268.4</v>
      </c>
      <c r="D204" s="43">
        <f t="shared" si="69"/>
        <v>3772.3666666666668</v>
      </c>
      <c r="E204" s="43">
        <v>3362.2</v>
      </c>
      <c r="F204" s="43">
        <v>3203.8</v>
      </c>
      <c r="G204" s="43">
        <f t="shared" si="70"/>
        <v>10547.537199999999</v>
      </c>
      <c r="H204" s="44">
        <f t="shared" si="71"/>
        <v>3.6183653323172082E-2</v>
      </c>
      <c r="I204" s="43">
        <f>7990664.7*H204/100+400</f>
        <v>3291.3144132650887</v>
      </c>
      <c r="J204" s="43"/>
      <c r="K204" s="43"/>
      <c r="L204" s="43">
        <f t="shared" si="72"/>
        <v>3291.3144132650887</v>
      </c>
      <c r="M204" s="43">
        <v>3291.3</v>
      </c>
      <c r="N204" s="43">
        <f t="shared" si="73"/>
        <v>-1.4413265088478511E-2</v>
      </c>
      <c r="O204" s="43">
        <f t="shared" si="74"/>
        <v>99.999562081792291</v>
      </c>
      <c r="P204" s="43">
        <v>11852.199999999999</v>
      </c>
      <c r="Q204" s="44">
        <f t="shared" si="75"/>
        <v>4.8357318946237376E-2</v>
      </c>
      <c r="R204" s="43">
        <f>6201897*Q204/100</f>
        <v>2999.0711130071272</v>
      </c>
      <c r="S204" s="43">
        <f>1373.1-1373.1</f>
        <v>0</v>
      </c>
      <c r="T204" s="43">
        <v>950</v>
      </c>
      <c r="U204" s="43"/>
      <c r="V204" s="43"/>
      <c r="W204" s="43"/>
      <c r="X204" s="43">
        <f t="shared" si="77"/>
        <v>3949.0711130071272</v>
      </c>
      <c r="Y204" s="43">
        <v>3624.2000000000003</v>
      </c>
      <c r="Z204" s="43">
        <f t="shared" si="78"/>
        <v>3624.2000000000003</v>
      </c>
      <c r="AA204" s="43"/>
      <c r="AB204" s="43"/>
      <c r="AC204" s="43"/>
      <c r="AD204" s="43">
        <f t="shared" si="68"/>
        <v>3624.2000000000003</v>
      </c>
      <c r="AE204" s="43">
        <v>3957.4</v>
      </c>
      <c r="AF204" s="43"/>
      <c r="AG204" s="43"/>
      <c r="AH204" s="42">
        <f t="shared" si="79"/>
        <v>3957.4</v>
      </c>
      <c r="AI204" s="41">
        <v>3904.4</v>
      </c>
      <c r="AJ204" s="40">
        <v>3788.2</v>
      </c>
      <c r="AK204" s="49">
        <f>4917-1500</f>
        <v>3417</v>
      </c>
      <c r="AL204" s="39">
        <f t="shared" si="80"/>
        <v>3417</v>
      </c>
      <c r="AM204" s="49"/>
      <c r="AN204" s="49">
        <f t="shared" si="81"/>
        <v>3417</v>
      </c>
      <c r="AO204" s="49">
        <f>10133.3/3</f>
        <v>3377.7666666666664</v>
      </c>
    </row>
    <row r="205" spans="1:41" s="18" customFormat="1" ht="34.5" customHeight="1" x14ac:dyDescent="0.25">
      <c r="A205" s="46">
        <v>44741</v>
      </c>
      <c r="B205" s="45" t="s">
        <v>101</v>
      </c>
      <c r="C205" s="43">
        <v>48769.2</v>
      </c>
      <c r="D205" s="43">
        <f t="shared" si="69"/>
        <v>4064.1</v>
      </c>
      <c r="E205" s="43">
        <v>2813</v>
      </c>
      <c r="F205" s="43">
        <v>2644.1</v>
      </c>
      <c r="G205" s="43">
        <f t="shared" si="70"/>
        <v>11363.223599999999</v>
      </c>
      <c r="H205" s="44">
        <f t="shared" si="71"/>
        <v>3.0072771024959248E-2</v>
      </c>
      <c r="I205" s="43">
        <f>7990664.7*H205/100+300</f>
        <v>2703.014298603247</v>
      </c>
      <c r="J205" s="43"/>
      <c r="K205" s="43"/>
      <c r="L205" s="43">
        <f t="shared" si="72"/>
        <v>2703.014298603247</v>
      </c>
      <c r="M205" s="43">
        <v>2703</v>
      </c>
      <c r="N205" s="43">
        <f t="shared" si="73"/>
        <v>-1.4298603246970742E-2</v>
      </c>
      <c r="O205" s="43">
        <f t="shared" si="74"/>
        <v>99.999471012667058</v>
      </c>
      <c r="P205" s="43">
        <v>13109.300000000001</v>
      </c>
      <c r="Q205" s="44">
        <f t="shared" si="75"/>
        <v>5.3486323320726094E-2</v>
      </c>
      <c r="R205" s="43">
        <f>6201897*Q205/100</f>
        <v>3317.1666814384121</v>
      </c>
      <c r="S205" s="43">
        <f>1841.4-1841.4</f>
        <v>0</v>
      </c>
      <c r="T205" s="43">
        <f>1841.4-70.7-77.1</f>
        <v>1693.6000000000001</v>
      </c>
      <c r="U205" s="43"/>
      <c r="V205" s="43"/>
      <c r="W205" s="43"/>
      <c r="X205" s="43">
        <f t="shared" si="77"/>
        <v>5010.766681438412</v>
      </c>
      <c r="Y205" s="43">
        <v>3312.5660000000003</v>
      </c>
      <c r="Z205" s="43">
        <f t="shared" si="78"/>
        <v>3312.5660000000003</v>
      </c>
      <c r="AA205" s="43"/>
      <c r="AB205" s="43"/>
      <c r="AC205" s="43"/>
      <c r="AD205" s="43">
        <f t="shared" si="68"/>
        <v>3312.5660000000003</v>
      </c>
      <c r="AE205" s="43">
        <v>4927.5</v>
      </c>
      <c r="AF205" s="43"/>
      <c r="AG205" s="43"/>
      <c r="AH205" s="42">
        <f t="shared" si="79"/>
        <v>4927.5</v>
      </c>
      <c r="AI205" s="41">
        <f>3781.5+15000</f>
        <v>18781.5</v>
      </c>
      <c r="AJ205" s="40">
        <v>3300.5</v>
      </c>
      <c r="AK205" s="49">
        <f>5952-3000</f>
        <v>2952</v>
      </c>
      <c r="AL205" s="39">
        <f t="shared" si="80"/>
        <v>2952</v>
      </c>
      <c r="AM205" s="49"/>
      <c r="AN205" s="49">
        <f t="shared" si="81"/>
        <v>2952</v>
      </c>
      <c r="AO205" s="49">
        <f>11941.6/3</f>
        <v>3980.5333333333333</v>
      </c>
    </row>
    <row r="206" spans="1:41" s="18" customFormat="1" ht="24.75" customHeight="1" x14ac:dyDescent="0.25">
      <c r="A206" s="46">
        <v>44821</v>
      </c>
      <c r="B206" s="45" t="s">
        <v>100</v>
      </c>
      <c r="C206" s="43">
        <v>10302.700000000001</v>
      </c>
      <c r="D206" s="43">
        <f t="shared" si="69"/>
        <v>858.55833333333339</v>
      </c>
      <c r="E206" s="43">
        <v>713.2</v>
      </c>
      <c r="F206" s="43">
        <v>668.1</v>
      </c>
      <c r="G206" s="43">
        <f t="shared" si="70"/>
        <v>2400.5291000000002</v>
      </c>
      <c r="H206" s="44">
        <f t="shared" si="71"/>
        <v>7.6120134534416089E-3</v>
      </c>
      <c r="I206" s="43">
        <v>730</v>
      </c>
      <c r="J206" s="43"/>
      <c r="K206" s="43"/>
      <c r="L206" s="43">
        <f t="shared" si="72"/>
        <v>730</v>
      </c>
      <c r="M206" s="43">
        <v>730</v>
      </c>
      <c r="N206" s="43">
        <f t="shared" si="73"/>
        <v>0</v>
      </c>
      <c r="O206" s="43">
        <f t="shared" si="74"/>
        <v>100</v>
      </c>
      <c r="P206" s="43">
        <v>2770.3999999999996</v>
      </c>
      <c r="Q206" s="44">
        <f t="shared" si="75"/>
        <v>1.1303312162185587E-2</v>
      </c>
      <c r="R206" s="43">
        <f>6201897*Q206/100</f>
        <v>701.01977788722297</v>
      </c>
      <c r="S206" s="43"/>
      <c r="T206" s="43"/>
      <c r="U206" s="43"/>
      <c r="V206" s="43"/>
      <c r="W206" s="43"/>
      <c r="X206" s="43">
        <f t="shared" si="77"/>
        <v>701.01977788722297</v>
      </c>
      <c r="Y206" s="43">
        <v>618.5</v>
      </c>
      <c r="Z206" s="43">
        <f t="shared" si="78"/>
        <v>618.5</v>
      </c>
      <c r="AA206" s="43"/>
      <c r="AB206" s="43"/>
      <c r="AC206" s="43"/>
      <c r="AD206" s="43">
        <f t="shared" si="68"/>
        <v>618.5</v>
      </c>
      <c r="AE206" s="43">
        <v>968.2</v>
      </c>
      <c r="AF206" s="43"/>
      <c r="AG206" s="43"/>
      <c r="AH206" s="42">
        <f t="shared" si="79"/>
        <v>968.2</v>
      </c>
      <c r="AI206" s="41">
        <f>983.7+422</f>
        <v>1405.7</v>
      </c>
      <c r="AJ206" s="40">
        <v>1002.5</v>
      </c>
      <c r="AK206" s="49">
        <f>1864.8-800-300</f>
        <v>764.8</v>
      </c>
      <c r="AL206" s="39">
        <f t="shared" si="80"/>
        <v>764.8</v>
      </c>
      <c r="AM206" s="49">
        <v>501.7</v>
      </c>
      <c r="AN206" s="49">
        <f t="shared" si="81"/>
        <v>1266.5</v>
      </c>
      <c r="AO206" s="49">
        <f>2154.7/3</f>
        <v>718.23333333333323</v>
      </c>
    </row>
    <row r="207" spans="1:41" s="18" customFormat="1" ht="15" customHeight="1" x14ac:dyDescent="0.25">
      <c r="A207" s="46">
        <v>45110</v>
      </c>
      <c r="B207" s="45" t="s">
        <v>99</v>
      </c>
      <c r="C207" s="43">
        <v>52321</v>
      </c>
      <c r="D207" s="43">
        <f t="shared" si="69"/>
        <v>4360.083333333333</v>
      </c>
      <c r="E207" s="43">
        <v>4101.8</v>
      </c>
      <c r="F207" s="43">
        <v>4073.3</v>
      </c>
      <c r="G207" s="43">
        <f t="shared" si="70"/>
        <v>12190.793</v>
      </c>
      <c r="H207" s="44">
        <f t="shared" si="71"/>
        <v>4.5051018014356403E-2</v>
      </c>
      <c r="I207" s="43">
        <v>3702.3</v>
      </c>
      <c r="J207" s="43"/>
      <c r="K207" s="43"/>
      <c r="L207" s="43">
        <f t="shared" si="72"/>
        <v>3702.3</v>
      </c>
      <c r="M207" s="43">
        <v>3702.3</v>
      </c>
      <c r="N207" s="43">
        <f t="shared" si="73"/>
        <v>0</v>
      </c>
      <c r="O207" s="43">
        <f t="shared" si="74"/>
        <v>100</v>
      </c>
      <c r="P207" s="43">
        <v>13787.300000000001</v>
      </c>
      <c r="Q207" s="44">
        <f t="shared" si="75"/>
        <v>5.6252582938818005E-2</v>
      </c>
      <c r="R207" s="43">
        <f>6201897*Q207/100+200</f>
        <v>3688.7272537050658</v>
      </c>
      <c r="S207" s="43"/>
      <c r="T207" s="43"/>
      <c r="U207" s="43"/>
      <c r="V207" s="43"/>
      <c r="W207" s="43"/>
      <c r="X207" s="43">
        <f t="shared" si="77"/>
        <v>3688.7272537050658</v>
      </c>
      <c r="Y207" s="43">
        <v>3684.0660000000003</v>
      </c>
      <c r="Z207" s="43">
        <f t="shared" si="78"/>
        <v>3684.0660000000003</v>
      </c>
      <c r="AA207" s="43"/>
      <c r="AB207" s="43"/>
      <c r="AC207" s="43"/>
      <c r="AD207" s="43">
        <f t="shared" si="68"/>
        <v>3684.0660000000003</v>
      </c>
      <c r="AE207" s="43">
        <f>5385.6-1200</f>
        <v>4185.6000000000004</v>
      </c>
      <c r="AF207" s="43">
        <v>1000</v>
      </c>
      <c r="AG207" s="43"/>
      <c r="AH207" s="42">
        <f t="shared" si="79"/>
        <v>5185.6000000000004</v>
      </c>
      <c r="AI207" s="41">
        <v>4608.8</v>
      </c>
      <c r="AJ207" s="40">
        <v>4632.3999999999996</v>
      </c>
      <c r="AK207" s="49">
        <f>5201.3-1500</f>
        <v>3701.3</v>
      </c>
      <c r="AL207" s="39">
        <f t="shared" si="80"/>
        <v>3701.3</v>
      </c>
      <c r="AM207" s="49"/>
      <c r="AN207" s="49">
        <f t="shared" si="81"/>
        <v>3701.3</v>
      </c>
      <c r="AO207" s="49">
        <f>11232.7/3</f>
        <v>3744.2333333333336</v>
      </c>
    </row>
    <row r="208" spans="1:41" s="18" customFormat="1" ht="20.399999999999999" x14ac:dyDescent="0.25">
      <c r="A208" s="46">
        <v>45121</v>
      </c>
      <c r="B208" s="45" t="s">
        <v>98</v>
      </c>
      <c r="C208" s="43">
        <v>681696.5</v>
      </c>
      <c r="D208" s="43">
        <f t="shared" si="69"/>
        <v>56808.041666666664</v>
      </c>
      <c r="E208" s="43">
        <v>28741.5</v>
      </c>
      <c r="F208" s="43">
        <v>54702.8</v>
      </c>
      <c r="G208" s="43">
        <f t="shared" si="70"/>
        <v>158835.28450000001</v>
      </c>
      <c r="H208" s="44">
        <f t="shared" si="71"/>
        <v>0.45984155086731165</v>
      </c>
      <c r="I208" s="43">
        <v>40001.9</v>
      </c>
      <c r="J208" s="43"/>
      <c r="K208" s="43">
        <v>20969</v>
      </c>
      <c r="L208" s="43">
        <f t="shared" si="72"/>
        <v>60970.9</v>
      </c>
      <c r="M208" s="43">
        <v>60970.9</v>
      </c>
      <c r="N208" s="43">
        <f t="shared" si="73"/>
        <v>0</v>
      </c>
      <c r="O208" s="43">
        <f t="shared" si="74"/>
        <v>100</v>
      </c>
      <c r="P208" s="43">
        <v>173484.59999999998</v>
      </c>
      <c r="Q208" s="44">
        <f t="shared" si="75"/>
        <v>0.70782218781833017</v>
      </c>
      <c r="R208" s="43">
        <f>6201897*Q208/100</f>
        <v>43898.403031639384</v>
      </c>
      <c r="S208" s="43">
        <v>11013.2</v>
      </c>
      <c r="T208" s="43"/>
      <c r="U208" s="43"/>
      <c r="V208" s="43"/>
      <c r="W208" s="43"/>
      <c r="X208" s="43">
        <f t="shared" si="77"/>
        <v>54911.603031639388</v>
      </c>
      <c r="Y208" s="43">
        <v>25983.334000000003</v>
      </c>
      <c r="Z208" s="43">
        <f>Y208+22818.2+3000</f>
        <v>51801.534</v>
      </c>
      <c r="AA208" s="43">
        <v>35000</v>
      </c>
      <c r="AB208" s="43"/>
      <c r="AC208" s="43"/>
      <c r="AD208" s="43">
        <f t="shared" si="68"/>
        <v>86801.534</v>
      </c>
      <c r="AE208" s="43">
        <v>27358.3</v>
      </c>
      <c r="AF208" s="43">
        <v>15926.1</v>
      </c>
      <c r="AG208" s="43">
        <v>-3295</v>
      </c>
      <c r="AH208" s="42">
        <f t="shared" si="79"/>
        <v>39989.4</v>
      </c>
      <c r="AI208" s="41">
        <f>49621+32922.6</f>
        <v>82543.600000000006</v>
      </c>
      <c r="AJ208" s="40">
        <v>197906.8</v>
      </c>
      <c r="AK208" s="49">
        <f>55093+45000-45000</f>
        <v>55093</v>
      </c>
      <c r="AL208" s="39">
        <f t="shared" si="80"/>
        <v>55093</v>
      </c>
      <c r="AM208" s="49">
        <f>90900+22983.9</f>
        <v>113883.9</v>
      </c>
      <c r="AN208" s="49">
        <f t="shared" si="81"/>
        <v>168976.9</v>
      </c>
      <c r="AO208" s="49">
        <f>79548.6/3</f>
        <v>26516.2</v>
      </c>
    </row>
    <row r="209" spans="1:41" s="18" customFormat="1" ht="20.399999999999999" x14ac:dyDescent="0.25">
      <c r="A209" s="46">
        <v>45151</v>
      </c>
      <c r="B209" s="45" t="s">
        <v>97</v>
      </c>
      <c r="C209" s="43">
        <v>100000</v>
      </c>
      <c r="D209" s="43">
        <f t="shared" si="69"/>
        <v>8333.3333333333339</v>
      </c>
      <c r="E209" s="43"/>
      <c r="F209" s="43"/>
      <c r="G209" s="43">
        <f t="shared" si="70"/>
        <v>23300</v>
      </c>
      <c r="H209" s="44">
        <f t="shared" si="71"/>
        <v>0</v>
      </c>
      <c r="I209" s="43">
        <f>7990664.7*H209/100+8333.3</f>
        <v>8333.2999999999993</v>
      </c>
      <c r="J209" s="43"/>
      <c r="K209" s="43">
        <v>-8333.2999999999993</v>
      </c>
      <c r="L209" s="43">
        <f t="shared" si="72"/>
        <v>0</v>
      </c>
      <c r="M209" s="43">
        <v>0</v>
      </c>
      <c r="N209" s="43">
        <f t="shared" si="73"/>
        <v>0</v>
      </c>
      <c r="O209" s="43"/>
      <c r="P209" s="43">
        <v>0</v>
      </c>
      <c r="Q209" s="44">
        <f t="shared" si="75"/>
        <v>0</v>
      </c>
      <c r="R209" s="43">
        <f>6201897*Q209/100</f>
        <v>0</v>
      </c>
      <c r="S209" s="43"/>
      <c r="T209" s="43"/>
      <c r="U209" s="43"/>
      <c r="V209" s="43"/>
      <c r="W209" s="43"/>
      <c r="X209" s="43">
        <f t="shared" si="77"/>
        <v>0</v>
      </c>
      <c r="Y209" s="43"/>
      <c r="Z209" s="43">
        <f>Y209</f>
        <v>0</v>
      </c>
      <c r="AA209" s="43"/>
      <c r="AB209" s="43"/>
      <c r="AC209" s="43"/>
      <c r="AD209" s="43">
        <f t="shared" si="68"/>
        <v>0</v>
      </c>
      <c r="AE209" s="43"/>
      <c r="AF209" s="43"/>
      <c r="AG209" s="43"/>
      <c r="AH209" s="42">
        <f t="shared" si="79"/>
        <v>0</v>
      </c>
      <c r="AI209" s="41"/>
      <c r="AJ209" s="40">
        <v>0</v>
      </c>
      <c r="AK209" s="49"/>
      <c r="AL209" s="39">
        <f t="shared" si="80"/>
        <v>0</v>
      </c>
      <c r="AM209" s="49"/>
      <c r="AN209" s="49">
        <f t="shared" si="81"/>
        <v>0</v>
      </c>
      <c r="AO209" s="49"/>
    </row>
    <row r="210" spans="1:41" s="18" customFormat="1" ht="20.399999999999999" x14ac:dyDescent="0.25">
      <c r="A210" s="46">
        <v>45221</v>
      </c>
      <c r="B210" s="45" t="s">
        <v>96</v>
      </c>
      <c r="C210" s="43">
        <v>131080</v>
      </c>
      <c r="D210" s="43">
        <f t="shared" si="69"/>
        <v>10923.333333333334</v>
      </c>
      <c r="E210" s="43">
        <v>12405.4</v>
      </c>
      <c r="F210" s="43">
        <v>2593.6</v>
      </c>
      <c r="G210" s="43">
        <f t="shared" si="70"/>
        <v>30541.64</v>
      </c>
      <c r="H210" s="44">
        <f t="shared" si="71"/>
        <v>8.2655896465771872E-2</v>
      </c>
      <c r="I210" s="43">
        <v>17616.599999999999</v>
      </c>
      <c r="J210" s="43"/>
      <c r="K210" s="43"/>
      <c r="L210" s="43">
        <f t="shared" si="72"/>
        <v>17616.599999999999</v>
      </c>
      <c r="M210" s="43">
        <v>17616.599999999999</v>
      </c>
      <c r="N210" s="43">
        <f t="shared" si="73"/>
        <v>0</v>
      </c>
      <c r="O210" s="43">
        <f t="shared" ref="O210:O220" si="82">M210/L210*100</f>
        <v>100</v>
      </c>
      <c r="P210" s="43">
        <v>44212.1</v>
      </c>
      <c r="Q210" s="44">
        <f t="shared" si="75"/>
        <v>0.18038664728767162</v>
      </c>
      <c r="R210" s="43">
        <f>6201897*Q210/100</f>
        <v>11187.394066534687</v>
      </c>
      <c r="S210" s="43"/>
      <c r="T210" s="43"/>
      <c r="U210" s="43"/>
      <c r="V210" s="43"/>
      <c r="W210" s="43"/>
      <c r="X210" s="43">
        <f t="shared" si="77"/>
        <v>11187.394066534687</v>
      </c>
      <c r="Y210" s="43">
        <v>2153.1329999999998</v>
      </c>
      <c r="Z210" s="43">
        <f>Y210+(15507-2140.3)</f>
        <v>15519.833000000001</v>
      </c>
      <c r="AA210" s="43"/>
      <c r="AB210" s="43"/>
      <c r="AC210" s="43"/>
      <c r="AD210" s="43">
        <f t="shared" si="68"/>
        <v>15519.833000000001</v>
      </c>
      <c r="AE210" s="43">
        <v>2373.4</v>
      </c>
      <c r="AF210" s="43"/>
      <c r="AG210" s="43">
        <v>3295</v>
      </c>
      <c r="AH210" s="42">
        <f t="shared" si="79"/>
        <v>5668.4</v>
      </c>
      <c r="AI210" s="41">
        <f>5668.4+15000</f>
        <v>20668.400000000001</v>
      </c>
      <c r="AJ210" s="40">
        <v>12047.7</v>
      </c>
      <c r="AK210" s="49">
        <f>18156.7-8000</f>
        <v>10156.700000000001</v>
      </c>
      <c r="AL210" s="39">
        <f t="shared" si="80"/>
        <v>10156.700000000001</v>
      </c>
      <c r="AM210" s="49"/>
      <c r="AN210" s="49">
        <f t="shared" si="81"/>
        <v>10156.700000000001</v>
      </c>
      <c r="AO210" s="49">
        <f>6513.1/3</f>
        <v>2171.0333333333333</v>
      </c>
    </row>
    <row r="211" spans="1:41" s="18" customFormat="1" ht="23.25" customHeight="1" x14ac:dyDescent="0.25">
      <c r="A211" s="46">
        <v>45320</v>
      </c>
      <c r="B211" s="45" t="s">
        <v>95</v>
      </c>
      <c r="C211" s="43">
        <v>809654.6</v>
      </c>
      <c r="D211" s="43">
        <f t="shared" si="69"/>
        <v>67471.21666666666</v>
      </c>
      <c r="E211" s="43">
        <v>61041.8</v>
      </c>
      <c r="F211" s="43">
        <v>64444.1</v>
      </c>
      <c r="G211" s="43">
        <f t="shared" si="70"/>
        <v>188649.52179999999</v>
      </c>
      <c r="H211" s="44">
        <f t="shared" si="71"/>
        <v>0.69152273873686254</v>
      </c>
      <c r="I211" s="43">
        <v>59165.599999999999</v>
      </c>
      <c r="J211" s="43"/>
      <c r="K211" s="43"/>
      <c r="L211" s="43">
        <f t="shared" si="72"/>
        <v>59165.599999999999</v>
      </c>
      <c r="M211" s="43">
        <v>57278.1</v>
      </c>
      <c r="N211" s="43">
        <f t="shared" si="73"/>
        <v>-1887.5</v>
      </c>
      <c r="O211" s="43">
        <f t="shared" si="82"/>
        <v>96.809801641494388</v>
      </c>
      <c r="P211" s="43">
        <v>207600.7</v>
      </c>
      <c r="Q211" s="44">
        <f t="shared" si="75"/>
        <v>0.84701686297583079</v>
      </c>
      <c r="R211" s="43">
        <f>6201897*Q211/100+7000</f>
        <v>59531.113414392166</v>
      </c>
      <c r="S211" s="43">
        <v>6000</v>
      </c>
      <c r="T211" s="43"/>
      <c r="U211" s="43"/>
      <c r="V211" s="43"/>
      <c r="W211" s="43"/>
      <c r="X211" s="43">
        <f t="shared" si="77"/>
        <v>65531.113414392166</v>
      </c>
      <c r="Y211" s="43">
        <v>63568.699000000001</v>
      </c>
      <c r="Z211" s="43">
        <f t="shared" ref="Z211:Z233" si="83">Y211</f>
        <v>63568.699000000001</v>
      </c>
      <c r="AA211" s="43"/>
      <c r="AB211" s="43">
        <v>3746.2</v>
      </c>
      <c r="AC211" s="43"/>
      <c r="AD211" s="43">
        <f t="shared" si="68"/>
        <v>67314.899000000005</v>
      </c>
      <c r="AE211" s="43">
        <v>64964.7</v>
      </c>
      <c r="AF211" s="43"/>
      <c r="AG211" s="43"/>
      <c r="AH211" s="42">
        <f t="shared" si="79"/>
        <v>64964.7</v>
      </c>
      <c r="AI211" s="41">
        <f>64964.7+6447.3</f>
        <v>71412</v>
      </c>
      <c r="AJ211" s="40">
        <v>68836.399999999994</v>
      </c>
      <c r="AK211" s="49">
        <f>78454.2-12000</f>
        <v>66454.2</v>
      </c>
      <c r="AL211" s="39">
        <f t="shared" si="80"/>
        <v>66454.2</v>
      </c>
      <c r="AM211" s="49"/>
      <c r="AN211" s="49">
        <f t="shared" si="81"/>
        <v>66454.2</v>
      </c>
      <c r="AO211" s="49">
        <f>188564.4/3</f>
        <v>62854.799999999996</v>
      </c>
    </row>
    <row r="212" spans="1:41" s="18" customFormat="1" ht="12.75" customHeight="1" x14ac:dyDescent="0.25">
      <c r="A212" s="46">
        <v>45420</v>
      </c>
      <c r="B212" s="45" t="s">
        <v>94</v>
      </c>
      <c r="C212" s="43">
        <v>119519.9</v>
      </c>
      <c r="D212" s="43">
        <f t="shared" si="69"/>
        <v>9959.9916666666668</v>
      </c>
      <c r="E212" s="43">
        <v>10365.799999999999</v>
      </c>
      <c r="F212" s="43">
        <v>10658.1</v>
      </c>
      <c r="G212" s="43">
        <f t="shared" si="70"/>
        <v>27848.136699999999</v>
      </c>
      <c r="H212" s="44">
        <f t="shared" si="71"/>
        <v>0.11585767729226891</v>
      </c>
      <c r="I212" s="43">
        <v>6055.7</v>
      </c>
      <c r="J212" s="43"/>
      <c r="K212" s="43">
        <v>5012.8</v>
      </c>
      <c r="L212" s="43">
        <f t="shared" si="72"/>
        <v>11068.5</v>
      </c>
      <c r="M212" s="43">
        <v>11068.5</v>
      </c>
      <c r="N212" s="43">
        <f t="shared" si="73"/>
        <v>0</v>
      </c>
      <c r="O212" s="43">
        <f t="shared" si="82"/>
        <v>100</v>
      </c>
      <c r="P212" s="43">
        <v>35972.800000000003</v>
      </c>
      <c r="Q212" s="44">
        <f t="shared" si="75"/>
        <v>0.14677006488155855</v>
      </c>
      <c r="R212" s="43">
        <f>6201897*Q212/100+1400</f>
        <v>10502.528250787434</v>
      </c>
      <c r="S212" s="43"/>
      <c r="T212" s="43"/>
      <c r="U212" s="43"/>
      <c r="V212" s="43"/>
      <c r="W212" s="43"/>
      <c r="X212" s="43">
        <f t="shared" si="77"/>
        <v>10502.528250787434</v>
      </c>
      <c r="Y212" s="43">
        <v>11139.8</v>
      </c>
      <c r="Z212" s="43">
        <f t="shared" si="83"/>
        <v>11139.8</v>
      </c>
      <c r="AA212" s="43"/>
      <c r="AB212" s="43"/>
      <c r="AC212" s="43"/>
      <c r="AD212" s="43">
        <f t="shared" si="68"/>
        <v>11139.8</v>
      </c>
      <c r="AE212" s="43">
        <v>11973.1</v>
      </c>
      <c r="AF212" s="43"/>
      <c r="AG212" s="43"/>
      <c r="AH212" s="42">
        <f t="shared" si="79"/>
        <v>11973.1</v>
      </c>
      <c r="AI212" s="41">
        <v>11973.1</v>
      </c>
      <c r="AJ212" s="40">
        <v>11236.5</v>
      </c>
      <c r="AK212" s="49">
        <v>9552.5</v>
      </c>
      <c r="AL212" s="39">
        <f t="shared" si="80"/>
        <v>9552.5</v>
      </c>
      <c r="AM212" s="49"/>
      <c r="AN212" s="49">
        <f t="shared" si="81"/>
        <v>9552.5</v>
      </c>
      <c r="AO212" s="49">
        <f>16084.8/3</f>
        <v>5361.5999999999995</v>
      </c>
    </row>
    <row r="213" spans="1:41" s="18" customFormat="1" ht="20.399999999999999" x14ac:dyDescent="0.25">
      <c r="A213" s="46">
        <v>46120</v>
      </c>
      <c r="B213" s="45" t="s">
        <v>93</v>
      </c>
      <c r="C213" s="43">
        <v>14915.6</v>
      </c>
      <c r="D213" s="43">
        <f t="shared" si="69"/>
        <v>1242.9666666666667</v>
      </c>
      <c r="E213" s="43">
        <v>1083.5999999999999</v>
      </c>
      <c r="F213" s="43">
        <v>1244.9000000000001</v>
      </c>
      <c r="G213" s="43">
        <f t="shared" si="70"/>
        <v>3475.3348000000005</v>
      </c>
      <c r="H213" s="44">
        <f t="shared" si="71"/>
        <v>1.2831805781755436E-2</v>
      </c>
      <c r="I213" s="43">
        <v>1211.5999999999999</v>
      </c>
      <c r="J213" s="43"/>
      <c r="K213" s="43"/>
      <c r="L213" s="43">
        <f t="shared" si="72"/>
        <v>1211.5999999999999</v>
      </c>
      <c r="M213" s="43">
        <v>1203.8</v>
      </c>
      <c r="N213" s="43">
        <f t="shared" si="73"/>
        <v>-7.7999999999999545</v>
      </c>
      <c r="O213" s="43">
        <f t="shared" si="82"/>
        <v>99.356223175965681</v>
      </c>
      <c r="P213" s="43">
        <v>3866.0000000000005</v>
      </c>
      <c r="Q213" s="44">
        <f t="shared" si="75"/>
        <v>1.5773391863633229E-2</v>
      </c>
      <c r="R213" s="43">
        <f>6201897*Q213/100+200</f>
        <v>1178.2495167889133</v>
      </c>
      <c r="S213" s="43"/>
      <c r="T213" s="43"/>
      <c r="U213" s="43"/>
      <c r="V213" s="43"/>
      <c r="W213" s="43"/>
      <c r="X213" s="43">
        <f t="shared" si="77"/>
        <v>1178.2495167889133</v>
      </c>
      <c r="Y213" s="43">
        <v>1177.6660000000002</v>
      </c>
      <c r="Z213" s="43">
        <f t="shared" si="83"/>
        <v>1177.6660000000002</v>
      </c>
      <c r="AA213" s="43"/>
      <c r="AB213" s="43"/>
      <c r="AC213" s="43"/>
      <c r="AD213" s="43">
        <f t="shared" si="68"/>
        <v>1177.6660000000002</v>
      </c>
      <c r="AE213" s="43">
        <v>1399.2</v>
      </c>
      <c r="AF213" s="43"/>
      <c r="AG213" s="43"/>
      <c r="AH213" s="42">
        <f t="shared" si="79"/>
        <v>1399.2</v>
      </c>
      <c r="AI213" s="41">
        <v>1254.3</v>
      </c>
      <c r="AJ213" s="40">
        <v>1169.5</v>
      </c>
      <c r="AK213" s="49">
        <v>1339</v>
      </c>
      <c r="AL213" s="39">
        <f t="shared" si="80"/>
        <v>1339</v>
      </c>
      <c r="AM213" s="49"/>
      <c r="AN213" s="49">
        <f t="shared" si="81"/>
        <v>1339</v>
      </c>
      <c r="AO213" s="49">
        <f>3651/3</f>
        <v>1217</v>
      </c>
    </row>
    <row r="214" spans="1:41" s="18" customFormat="1" ht="20.399999999999999" x14ac:dyDescent="0.25">
      <c r="A214" s="46">
        <v>47110</v>
      </c>
      <c r="B214" s="45" t="s">
        <v>92</v>
      </c>
      <c r="C214" s="43">
        <f>106799.4+13750</f>
        <v>120549.4</v>
      </c>
      <c r="D214" s="43">
        <f t="shared" si="69"/>
        <v>10045.783333333333</v>
      </c>
      <c r="E214" s="43">
        <v>14551.3</v>
      </c>
      <c r="F214" s="43">
        <v>9920.5</v>
      </c>
      <c r="G214" s="43">
        <f t="shared" si="70"/>
        <v>28088.010200000001</v>
      </c>
      <c r="H214" s="44">
        <f t="shared" si="71"/>
        <v>0.13485822835729555</v>
      </c>
      <c r="I214" s="43">
        <v>8811.7999999999993</v>
      </c>
      <c r="J214" s="43"/>
      <c r="K214" s="43"/>
      <c r="L214" s="43">
        <f t="shared" si="72"/>
        <v>8811.7999999999993</v>
      </c>
      <c r="M214" s="43">
        <v>8697.5</v>
      </c>
      <c r="N214" s="43">
        <f t="shared" si="73"/>
        <v>-114.29999999999927</v>
      </c>
      <c r="O214" s="43">
        <f t="shared" si="82"/>
        <v>98.702875689416473</v>
      </c>
      <c r="P214" s="43">
        <v>31138.1</v>
      </c>
      <c r="Q214" s="44">
        <f t="shared" si="75"/>
        <v>0.12704434898835945</v>
      </c>
      <c r="R214" s="43">
        <f>6201897*Q214/100+1100</f>
        <v>8979.1596685785953</v>
      </c>
      <c r="S214" s="43"/>
      <c r="T214" s="43"/>
      <c r="U214" s="43"/>
      <c r="V214" s="43"/>
      <c r="W214" s="43"/>
      <c r="X214" s="43">
        <f t="shared" si="77"/>
        <v>8979.1596685785953</v>
      </c>
      <c r="Y214" s="43">
        <v>8972.2659999999996</v>
      </c>
      <c r="Z214" s="43">
        <f t="shared" si="83"/>
        <v>8972.2659999999996</v>
      </c>
      <c r="AA214" s="43">
        <v>3000</v>
      </c>
      <c r="AB214" s="43"/>
      <c r="AC214" s="43"/>
      <c r="AD214" s="43">
        <f t="shared" si="68"/>
        <v>11972.266</v>
      </c>
      <c r="AE214" s="43">
        <v>12700</v>
      </c>
      <c r="AF214" s="43"/>
      <c r="AG214" s="43"/>
      <c r="AH214" s="42">
        <f t="shared" si="79"/>
        <v>12700</v>
      </c>
      <c r="AI214" s="41">
        <f>9441.5+3500</f>
        <v>12941.5</v>
      </c>
      <c r="AJ214" s="40">
        <v>11291.4</v>
      </c>
      <c r="AK214" s="49">
        <v>8000</v>
      </c>
      <c r="AL214" s="39">
        <f t="shared" si="80"/>
        <v>8000</v>
      </c>
      <c r="AM214" s="49"/>
      <c r="AN214" s="49">
        <f t="shared" si="81"/>
        <v>8000</v>
      </c>
      <c r="AO214" s="49">
        <f>24037.8/3</f>
        <v>8012.5999999999995</v>
      </c>
    </row>
    <row r="215" spans="1:41" s="18" customFormat="1" ht="20.399999999999999" x14ac:dyDescent="0.25">
      <c r="A215" s="46">
        <v>47120</v>
      </c>
      <c r="B215" s="45" t="s">
        <v>91</v>
      </c>
      <c r="C215" s="43">
        <f>519508.7+103700.1+8529.9</f>
        <v>631738.70000000007</v>
      </c>
      <c r="D215" s="43">
        <f t="shared" si="69"/>
        <v>52644.89166666667</v>
      </c>
      <c r="E215" s="43">
        <v>50799.4</v>
      </c>
      <c r="F215" s="43">
        <v>49722.8</v>
      </c>
      <c r="G215" s="43">
        <f t="shared" si="70"/>
        <v>147195.11710000003</v>
      </c>
      <c r="H215" s="44">
        <f t="shared" si="71"/>
        <v>0.55395376729859414</v>
      </c>
      <c r="I215" s="43">
        <v>44050.8</v>
      </c>
      <c r="J215" s="43"/>
      <c r="K215" s="43"/>
      <c r="L215" s="43">
        <f t="shared" si="72"/>
        <v>44050.8</v>
      </c>
      <c r="M215" s="43">
        <v>43996.800000000003</v>
      </c>
      <c r="N215" s="43">
        <f t="shared" si="73"/>
        <v>-54</v>
      </c>
      <c r="O215" s="43">
        <f t="shared" si="82"/>
        <v>99.877414258083846</v>
      </c>
      <c r="P215" s="43">
        <v>166278.5</v>
      </c>
      <c r="Q215" s="44">
        <f t="shared" si="75"/>
        <v>0.67842109130810579</v>
      </c>
      <c r="R215" s="43">
        <f>6201897*Q215/100+2000</f>
        <v>44074.977309204674</v>
      </c>
      <c r="S215" s="43"/>
      <c r="T215" s="43"/>
      <c r="U215" s="43"/>
      <c r="V215" s="43"/>
      <c r="W215" s="43"/>
      <c r="X215" s="43">
        <f t="shared" si="77"/>
        <v>44074.977309204674</v>
      </c>
      <c r="Y215" s="43">
        <v>50131.1</v>
      </c>
      <c r="Z215" s="43">
        <f t="shared" si="83"/>
        <v>50131.1</v>
      </c>
      <c r="AA215" s="43">
        <v>499.1</v>
      </c>
      <c r="AB215" s="43"/>
      <c r="AC215" s="43"/>
      <c r="AD215" s="43">
        <f t="shared" si="68"/>
        <v>50630.2</v>
      </c>
      <c r="AE215" s="43">
        <v>67500</v>
      </c>
      <c r="AF215" s="43"/>
      <c r="AG215" s="43"/>
      <c r="AH215" s="42">
        <f t="shared" si="79"/>
        <v>67500</v>
      </c>
      <c r="AI215" s="41">
        <v>52986.400000000001</v>
      </c>
      <c r="AJ215" s="40">
        <v>58792.2</v>
      </c>
      <c r="AK215" s="49">
        <f>55000-5000</f>
        <v>50000</v>
      </c>
      <c r="AL215" s="39">
        <f t="shared" si="80"/>
        <v>50000</v>
      </c>
      <c r="AM215" s="49"/>
      <c r="AN215" s="49">
        <f t="shared" si="81"/>
        <v>50000</v>
      </c>
      <c r="AO215" s="49">
        <f>129608.8/3</f>
        <v>43202.933333333334</v>
      </c>
    </row>
    <row r="216" spans="1:41" s="18" customFormat="1" ht="20.399999999999999" x14ac:dyDescent="0.25">
      <c r="A216" s="46">
        <v>48110</v>
      </c>
      <c r="B216" s="45" t="s">
        <v>90</v>
      </c>
      <c r="C216" s="43">
        <v>105903.3</v>
      </c>
      <c r="D216" s="43">
        <f t="shared" si="69"/>
        <v>8825.2749999999996</v>
      </c>
      <c r="E216" s="43">
        <v>13053.5</v>
      </c>
      <c r="F216" s="43">
        <v>5377.6</v>
      </c>
      <c r="G216" s="43">
        <f t="shared" si="70"/>
        <v>24675.4689</v>
      </c>
      <c r="H216" s="44">
        <f t="shared" si="71"/>
        <v>0.10156937751518687</v>
      </c>
      <c r="I216" s="43">
        <v>5398.1</v>
      </c>
      <c r="J216" s="43"/>
      <c r="K216" s="43"/>
      <c r="L216" s="43">
        <f t="shared" si="72"/>
        <v>5398.1</v>
      </c>
      <c r="M216" s="43">
        <v>1847.7</v>
      </c>
      <c r="N216" s="43">
        <f t="shared" si="73"/>
        <v>-3550.4000000000005</v>
      </c>
      <c r="O216" s="43">
        <f t="shared" si="82"/>
        <v>34.228710101702447</v>
      </c>
      <c r="P216" s="43">
        <v>23788.2</v>
      </c>
      <c r="Q216" s="44">
        <f t="shared" si="75"/>
        <v>9.7056544317247778E-2</v>
      </c>
      <c r="R216" s="43">
        <f>6201897*Q216/100</f>
        <v>6019.3469103150601</v>
      </c>
      <c r="S216" s="43">
        <v>1580</v>
      </c>
      <c r="T216" s="43"/>
      <c r="U216" s="43"/>
      <c r="V216" s="43"/>
      <c r="W216" s="43"/>
      <c r="X216" s="43">
        <f t="shared" si="77"/>
        <v>7599.3469103150601</v>
      </c>
      <c r="Y216" s="43">
        <v>6209.3329999999996</v>
      </c>
      <c r="Z216" s="43">
        <f t="shared" si="83"/>
        <v>6209.3329999999996</v>
      </c>
      <c r="AA216" s="43"/>
      <c r="AB216" s="43"/>
      <c r="AC216" s="43"/>
      <c r="AD216" s="43">
        <f t="shared" si="68"/>
        <v>6209.3329999999996</v>
      </c>
      <c r="AE216" s="43">
        <v>10229.6</v>
      </c>
      <c r="AF216" s="43">
        <v>533</v>
      </c>
      <c r="AG216" s="43"/>
      <c r="AH216" s="42">
        <f t="shared" si="79"/>
        <v>10762.6</v>
      </c>
      <c r="AI216" s="41">
        <f>7897.1+2265</f>
        <v>10162.1</v>
      </c>
      <c r="AJ216" s="40">
        <v>6196.6</v>
      </c>
      <c r="AK216" s="49">
        <v>7548.5</v>
      </c>
      <c r="AL216" s="39">
        <f t="shared" si="80"/>
        <v>7548.5</v>
      </c>
      <c r="AM216" s="49"/>
      <c r="AN216" s="49">
        <f t="shared" si="81"/>
        <v>7548.5</v>
      </c>
      <c r="AO216" s="49">
        <f>16864.9/3+1850</f>
        <v>7471.6333333333341</v>
      </c>
    </row>
    <row r="217" spans="1:41" s="18" customFormat="1" ht="20.399999999999999" x14ac:dyDescent="0.25">
      <c r="A217" s="46">
        <v>48120</v>
      </c>
      <c r="B217" s="45" t="s">
        <v>89</v>
      </c>
      <c r="C217" s="43">
        <v>552660.1</v>
      </c>
      <c r="D217" s="43">
        <f t="shared" si="69"/>
        <v>46055.008333333331</v>
      </c>
      <c r="E217" s="43">
        <v>61440.5</v>
      </c>
      <c r="F217" s="43">
        <v>27839.7</v>
      </c>
      <c r="G217" s="43">
        <f t="shared" si="70"/>
        <v>128769.8033</v>
      </c>
      <c r="H217" s="44">
        <f t="shared" si="71"/>
        <v>0.49200179796275789</v>
      </c>
      <c r="I217" s="43">
        <v>23405.1</v>
      </c>
      <c r="J217" s="43"/>
      <c r="K217" s="43"/>
      <c r="L217" s="43">
        <f t="shared" si="72"/>
        <v>23405.1</v>
      </c>
      <c r="M217" s="43">
        <v>22674.1</v>
      </c>
      <c r="N217" s="43">
        <f t="shared" si="73"/>
        <v>-731</v>
      </c>
      <c r="O217" s="43">
        <f t="shared" si="82"/>
        <v>96.876749084601215</v>
      </c>
      <c r="P217" s="43">
        <v>155086</v>
      </c>
      <c r="Q217" s="44">
        <f t="shared" si="75"/>
        <v>0.63275536745044547</v>
      </c>
      <c r="R217" s="43">
        <f>6201897*Q217/100-9000</f>
        <v>30242.836151248157</v>
      </c>
      <c r="S217" s="43">
        <v>7420</v>
      </c>
      <c r="T217" s="43">
        <v>13100</v>
      </c>
      <c r="U217" s="43"/>
      <c r="V217" s="43"/>
      <c r="W217" s="43"/>
      <c r="X217" s="43">
        <f t="shared" si="77"/>
        <v>50762.836151248157</v>
      </c>
      <c r="Y217" s="43">
        <v>35056.567000000003</v>
      </c>
      <c r="Z217" s="43">
        <f t="shared" si="83"/>
        <v>35056.567000000003</v>
      </c>
      <c r="AA217" s="43"/>
      <c r="AB217" s="43"/>
      <c r="AC217" s="43"/>
      <c r="AD217" s="43">
        <f t="shared" si="68"/>
        <v>35056.567000000003</v>
      </c>
      <c r="AE217" s="43">
        <f>52639-6000</f>
        <v>46639</v>
      </c>
      <c r="AF217" s="43">
        <f>972.3+17.2+6.6+200</f>
        <v>1196.0999999999999</v>
      </c>
      <c r="AG217" s="43"/>
      <c r="AH217" s="42">
        <f t="shared" si="79"/>
        <v>47835.1</v>
      </c>
      <c r="AI217" s="41">
        <f>47835.1+15851</f>
        <v>63686.1</v>
      </c>
      <c r="AJ217" s="40">
        <v>47835.1</v>
      </c>
      <c r="AK217" s="49">
        <f>89706.7-50000</f>
        <v>39706.699999999997</v>
      </c>
      <c r="AL217" s="39">
        <f t="shared" si="80"/>
        <v>39706.699999999997</v>
      </c>
      <c r="AM217" s="49"/>
      <c r="AN217" s="49">
        <f t="shared" si="81"/>
        <v>39706.699999999997</v>
      </c>
      <c r="AO217" s="49">
        <f>96577.1/3</f>
        <v>32192.366666666669</v>
      </c>
    </row>
    <row r="218" spans="1:41" s="18" customFormat="1" ht="20.399999999999999" x14ac:dyDescent="0.25">
      <c r="A218" s="46">
        <v>49120</v>
      </c>
      <c r="B218" s="45" t="s">
        <v>88</v>
      </c>
      <c r="C218" s="43">
        <f>7101.3+28000</f>
        <v>35101.300000000003</v>
      </c>
      <c r="D218" s="43">
        <f t="shared" si="69"/>
        <v>2925.1083333333336</v>
      </c>
      <c r="E218" s="43">
        <v>1770.5</v>
      </c>
      <c r="F218" s="43">
        <v>8012.2</v>
      </c>
      <c r="G218" s="43">
        <f t="shared" si="70"/>
        <v>8178.6029000000008</v>
      </c>
      <c r="H218" s="44">
        <f t="shared" si="71"/>
        <v>5.3910116564818089E-2</v>
      </c>
      <c r="I218" s="43">
        <v>888.7</v>
      </c>
      <c r="J218" s="43"/>
      <c r="K218" s="43"/>
      <c r="L218" s="43">
        <f t="shared" si="72"/>
        <v>888.7</v>
      </c>
      <c r="M218" s="43">
        <v>888.7</v>
      </c>
      <c r="N218" s="43">
        <f t="shared" si="73"/>
        <v>0</v>
      </c>
      <c r="O218" s="43">
        <f t="shared" si="82"/>
        <v>100</v>
      </c>
      <c r="P218" s="43">
        <v>10111.300000000001</v>
      </c>
      <c r="Q218" s="44">
        <f t="shared" si="75"/>
        <v>4.1254396572880145E-2</v>
      </c>
      <c r="R218" s="43">
        <f>6201897*Q218/100</f>
        <v>2558.5551834215566</v>
      </c>
      <c r="S218" s="43"/>
      <c r="T218" s="43"/>
      <c r="U218" s="43"/>
      <c r="V218" s="43"/>
      <c r="W218" s="43"/>
      <c r="X218" s="43">
        <f t="shared" si="77"/>
        <v>2558.5551834215566</v>
      </c>
      <c r="Y218" s="43">
        <v>892.13299999999992</v>
      </c>
      <c r="Z218" s="43">
        <f t="shared" si="83"/>
        <v>892.13299999999992</v>
      </c>
      <c r="AA218" s="43">
        <f>5788.8-Z218</f>
        <v>4896.6670000000004</v>
      </c>
      <c r="AB218" s="43"/>
      <c r="AC218" s="43"/>
      <c r="AD218" s="43">
        <f t="shared" si="68"/>
        <v>5788.8</v>
      </c>
      <c r="AE218" s="43">
        <v>4193.6000000000004</v>
      </c>
      <c r="AF218" s="43"/>
      <c r="AG218" s="43"/>
      <c r="AH218" s="42">
        <f t="shared" si="79"/>
        <v>4193.6000000000004</v>
      </c>
      <c r="AI218" s="41">
        <v>2443.1999999999998</v>
      </c>
      <c r="AJ218" s="40">
        <v>5221.3999999999996</v>
      </c>
      <c r="AK218" s="49">
        <v>265.10000000000002</v>
      </c>
      <c r="AL218" s="39">
        <f t="shared" si="80"/>
        <v>265.10000000000002</v>
      </c>
      <c r="AM218" s="49"/>
      <c r="AN218" s="49">
        <f t="shared" si="81"/>
        <v>265.10000000000002</v>
      </c>
      <c r="AO218" s="49">
        <f>809.8/3+1066.6</f>
        <v>1336.5333333333333</v>
      </c>
    </row>
    <row r="219" spans="1:41" s="18" customFormat="1" ht="20.399999999999999" x14ac:dyDescent="0.25">
      <c r="A219" s="46">
        <v>50121</v>
      </c>
      <c r="B219" s="45" t="s">
        <v>87</v>
      </c>
      <c r="C219" s="43">
        <v>30396.799999999999</v>
      </c>
      <c r="D219" s="43">
        <f t="shared" si="69"/>
        <v>2533.0666666666666</v>
      </c>
      <c r="E219" s="43">
        <v>1158.2</v>
      </c>
      <c r="F219" s="43">
        <v>421.2</v>
      </c>
      <c r="G219" s="43">
        <f t="shared" si="70"/>
        <v>7082.4544000000005</v>
      </c>
      <c r="H219" s="44">
        <f t="shared" si="71"/>
        <v>8.7036951048763307E-3</v>
      </c>
      <c r="I219" s="43">
        <v>3374.9</v>
      </c>
      <c r="J219" s="43"/>
      <c r="K219" s="43"/>
      <c r="L219" s="43">
        <f t="shared" si="72"/>
        <v>3374.9</v>
      </c>
      <c r="M219" s="43">
        <v>3277.3</v>
      </c>
      <c r="N219" s="43">
        <f t="shared" si="73"/>
        <v>-97.599999999999909</v>
      </c>
      <c r="O219" s="43">
        <f t="shared" si="82"/>
        <v>97.108062461109952</v>
      </c>
      <c r="P219" s="43">
        <v>8567.9000000000015</v>
      </c>
      <c r="Q219" s="44">
        <f t="shared" si="75"/>
        <v>3.4957279914232572E-2</v>
      </c>
      <c r="R219" s="43">
        <f>6201897*Q219/100</f>
        <v>2168.0144942823927</v>
      </c>
      <c r="S219" s="43"/>
      <c r="T219" s="43"/>
      <c r="U219" s="43"/>
      <c r="V219" s="43"/>
      <c r="W219" s="43"/>
      <c r="X219" s="43">
        <f t="shared" si="77"/>
        <v>2168.0144942823927</v>
      </c>
      <c r="Y219" s="43">
        <v>1032.567</v>
      </c>
      <c r="Z219" s="43">
        <f t="shared" si="83"/>
        <v>1032.567</v>
      </c>
      <c r="AA219" s="43"/>
      <c r="AB219" s="43"/>
      <c r="AC219" s="43"/>
      <c r="AD219" s="43">
        <f t="shared" si="68"/>
        <v>1032.567</v>
      </c>
      <c r="AE219" s="43">
        <v>1326.2</v>
      </c>
      <c r="AF219" s="43"/>
      <c r="AG219" s="43"/>
      <c r="AH219" s="42">
        <f t="shared" si="79"/>
        <v>1326.2</v>
      </c>
      <c r="AI219" s="41">
        <v>1326.2</v>
      </c>
      <c r="AJ219" s="40">
        <v>2405.9</v>
      </c>
      <c r="AK219" s="49">
        <f>2500-1300</f>
        <v>1200</v>
      </c>
      <c r="AL219" s="39">
        <f t="shared" si="80"/>
        <v>1200</v>
      </c>
      <c r="AM219" s="49"/>
      <c r="AN219" s="49">
        <f t="shared" si="81"/>
        <v>1200</v>
      </c>
      <c r="AO219" s="49">
        <f>1838.9/3</f>
        <v>612.9666666666667</v>
      </c>
    </row>
    <row r="220" spans="1:41" s="18" customFormat="1" ht="30.6" x14ac:dyDescent="0.25">
      <c r="A220" s="46">
        <v>51110</v>
      </c>
      <c r="B220" s="45" t="s">
        <v>86</v>
      </c>
      <c r="C220" s="43">
        <v>34999.300000000003</v>
      </c>
      <c r="D220" s="43">
        <f t="shared" si="69"/>
        <v>2916.6083333333336</v>
      </c>
      <c r="E220" s="43">
        <v>1906.7</v>
      </c>
      <c r="F220" s="43">
        <v>2413.6999999999998</v>
      </c>
      <c r="G220" s="43">
        <f t="shared" si="70"/>
        <v>8154.8369000000002</v>
      </c>
      <c r="H220" s="44">
        <f t="shared" si="71"/>
        <v>2.3808689585353742E-2</v>
      </c>
      <c r="I220" s="43">
        <f>7990664.7*H220/100+300</f>
        <v>2202.4725542294382</v>
      </c>
      <c r="J220" s="43"/>
      <c r="K220" s="43"/>
      <c r="L220" s="43">
        <f t="shared" si="72"/>
        <v>2202.4725542294382</v>
      </c>
      <c r="M220" s="43">
        <v>2202.5</v>
      </c>
      <c r="N220" s="43">
        <f t="shared" si="73"/>
        <v>2.7445770561826066E-2</v>
      </c>
      <c r="O220" s="43">
        <f t="shared" si="82"/>
        <v>100.00124613450956</v>
      </c>
      <c r="P220" s="43">
        <v>9741.4000000000015</v>
      </c>
      <c r="Q220" s="44">
        <f t="shared" si="75"/>
        <v>3.9745193869735317E-2</v>
      </c>
      <c r="R220" s="43">
        <f>6201897*Q220/100</f>
        <v>2464.9559862512983</v>
      </c>
      <c r="S220" s="43"/>
      <c r="T220" s="43"/>
      <c r="U220" s="43"/>
      <c r="V220" s="43"/>
      <c r="W220" s="43"/>
      <c r="X220" s="43">
        <f t="shared" si="77"/>
        <v>2464.9559862512983</v>
      </c>
      <c r="Y220" s="43">
        <v>1618.8330000000001</v>
      </c>
      <c r="Z220" s="43">
        <f t="shared" si="83"/>
        <v>1618.8330000000001</v>
      </c>
      <c r="AA220" s="43"/>
      <c r="AB220" s="43"/>
      <c r="AC220" s="43"/>
      <c r="AD220" s="43">
        <f t="shared" si="68"/>
        <v>1618.8330000000001</v>
      </c>
      <c r="AE220" s="43">
        <v>2270.1</v>
      </c>
      <c r="AF220" s="43"/>
      <c r="AG220" s="43"/>
      <c r="AH220" s="42">
        <f t="shared" si="79"/>
        <v>2270.1</v>
      </c>
      <c r="AI220" s="41">
        <v>2032</v>
      </c>
      <c r="AJ220" s="40">
        <v>2785.1</v>
      </c>
      <c r="AK220" s="49">
        <f>2841.4-1200</f>
        <v>1641.4</v>
      </c>
      <c r="AL220" s="39">
        <f t="shared" si="80"/>
        <v>1641.4</v>
      </c>
      <c r="AM220" s="49"/>
      <c r="AN220" s="49">
        <f t="shared" si="81"/>
        <v>1641.4</v>
      </c>
      <c r="AO220" s="49">
        <f>4828.6/3</f>
        <v>1609.5333333333335</v>
      </c>
    </row>
    <row r="221" spans="1:41" s="18" customFormat="1" ht="30.6" x14ac:dyDescent="0.25">
      <c r="A221" s="48">
        <v>51910</v>
      </c>
      <c r="B221" s="45" t="s">
        <v>85</v>
      </c>
      <c r="C221" s="43">
        <v>32604.2</v>
      </c>
      <c r="D221" s="43">
        <f t="shared" si="69"/>
        <v>2717.0166666666669</v>
      </c>
      <c r="E221" s="43"/>
      <c r="F221" s="43"/>
      <c r="G221" s="43">
        <f t="shared" si="70"/>
        <v>7596.7785999999996</v>
      </c>
      <c r="H221" s="44">
        <f t="shared" si="71"/>
        <v>0</v>
      </c>
      <c r="I221" s="43">
        <f>7990664.7*H221/100</f>
        <v>0</v>
      </c>
      <c r="J221" s="43"/>
      <c r="K221" s="43"/>
      <c r="L221" s="43">
        <f t="shared" si="72"/>
        <v>0</v>
      </c>
      <c r="M221" s="43">
        <v>0</v>
      </c>
      <c r="N221" s="43">
        <f t="shared" si="73"/>
        <v>0</v>
      </c>
      <c r="O221" s="43"/>
      <c r="P221" s="43">
        <v>0</v>
      </c>
      <c r="Q221" s="44">
        <f t="shared" si="75"/>
        <v>0</v>
      </c>
      <c r="R221" s="43">
        <f>6201897*Q221/100</f>
        <v>0</v>
      </c>
      <c r="S221" s="43"/>
      <c r="T221" s="43"/>
      <c r="U221" s="43"/>
      <c r="V221" s="43"/>
      <c r="W221" s="43"/>
      <c r="X221" s="43">
        <f t="shared" si="77"/>
        <v>0</v>
      </c>
      <c r="Y221" s="43"/>
      <c r="Z221" s="43">
        <f t="shared" si="83"/>
        <v>0</v>
      </c>
      <c r="AA221" s="43"/>
      <c r="AB221" s="43"/>
      <c r="AC221" s="43"/>
      <c r="AD221" s="43">
        <f t="shared" si="68"/>
        <v>0</v>
      </c>
      <c r="AE221" s="43"/>
      <c r="AF221" s="43"/>
      <c r="AG221" s="43"/>
      <c r="AH221" s="42">
        <f t="shared" si="79"/>
        <v>0</v>
      </c>
      <c r="AI221" s="41"/>
      <c r="AJ221" s="40">
        <v>0</v>
      </c>
      <c r="AK221" s="49"/>
      <c r="AL221" s="39">
        <f t="shared" si="80"/>
        <v>0</v>
      </c>
      <c r="AM221" s="49"/>
      <c r="AN221" s="49">
        <f t="shared" si="81"/>
        <v>0</v>
      </c>
      <c r="AO221" s="49"/>
    </row>
    <row r="222" spans="1:41" s="18" customFormat="1" ht="26.25" customHeight="1" x14ac:dyDescent="0.25">
      <c r="A222" s="46">
        <v>52110</v>
      </c>
      <c r="B222" s="45" t="s">
        <v>84</v>
      </c>
      <c r="C222" s="43">
        <v>16975.2</v>
      </c>
      <c r="D222" s="43">
        <f t="shared" si="69"/>
        <v>1414.6000000000001</v>
      </c>
      <c r="E222" s="43">
        <v>1247</v>
      </c>
      <c r="F222" s="43">
        <v>1247</v>
      </c>
      <c r="G222" s="43">
        <f t="shared" si="70"/>
        <v>3955.2216000000003</v>
      </c>
      <c r="H222" s="44">
        <f t="shared" si="71"/>
        <v>1.3743836641485102E-2</v>
      </c>
      <c r="I222" s="43">
        <v>1377.5</v>
      </c>
      <c r="J222" s="43"/>
      <c r="K222" s="43"/>
      <c r="L222" s="43">
        <f t="shared" si="72"/>
        <v>1377.5</v>
      </c>
      <c r="M222" s="43">
        <v>1377.5</v>
      </c>
      <c r="N222" s="43">
        <f t="shared" si="73"/>
        <v>0</v>
      </c>
      <c r="O222" s="43">
        <f t="shared" ref="O222:O245" si="84">M222/L222*100</f>
        <v>100</v>
      </c>
      <c r="P222" s="43">
        <v>4452.3999999999996</v>
      </c>
      <c r="Q222" s="44">
        <f t="shared" si="75"/>
        <v>1.816592083125726E-2</v>
      </c>
      <c r="R222" s="43">
        <f>6201897*Q222/100+100</f>
        <v>1226.631699056119</v>
      </c>
      <c r="S222" s="43"/>
      <c r="T222" s="43"/>
      <c r="U222" s="43"/>
      <c r="V222" s="43"/>
      <c r="W222" s="43"/>
      <c r="X222" s="43">
        <f t="shared" si="77"/>
        <v>1226.631699056119</v>
      </c>
      <c r="Y222" s="43">
        <v>1204.2339999999999</v>
      </c>
      <c r="Z222" s="43">
        <f t="shared" si="83"/>
        <v>1204.2339999999999</v>
      </c>
      <c r="AA222" s="43"/>
      <c r="AB222" s="43"/>
      <c r="AC222" s="43"/>
      <c r="AD222" s="43">
        <f t="shared" si="68"/>
        <v>1204.2339999999999</v>
      </c>
      <c r="AE222" s="43">
        <f>1867.2-500</f>
        <v>1367.2</v>
      </c>
      <c r="AF222" s="43"/>
      <c r="AG222" s="43"/>
      <c r="AH222" s="42">
        <f t="shared" si="79"/>
        <v>1367.2</v>
      </c>
      <c r="AI222" s="41">
        <v>1430.8</v>
      </c>
      <c r="AJ222" s="40">
        <v>1463.9</v>
      </c>
      <c r="AK222" s="49">
        <f>2385.8-1000</f>
        <v>1385.8000000000002</v>
      </c>
      <c r="AL222" s="39">
        <f t="shared" si="80"/>
        <v>1385.8000000000002</v>
      </c>
      <c r="AM222" s="49"/>
      <c r="AN222" s="49">
        <f t="shared" si="81"/>
        <v>1385.8000000000002</v>
      </c>
      <c r="AO222" s="49">
        <f>3971.5/3</f>
        <v>1323.8333333333333</v>
      </c>
    </row>
    <row r="223" spans="1:41" s="18" customFormat="1" ht="24.75" customHeight="1" x14ac:dyDescent="0.25">
      <c r="A223" s="46">
        <v>52120</v>
      </c>
      <c r="B223" s="45" t="s">
        <v>83</v>
      </c>
      <c r="C223" s="43">
        <v>351596.79999999999</v>
      </c>
      <c r="D223" s="43">
        <f t="shared" si="69"/>
        <v>29299.733333333334</v>
      </c>
      <c r="E223" s="43">
        <v>26928.1</v>
      </c>
      <c r="F223" s="43">
        <v>28549.5</v>
      </c>
      <c r="G223" s="43">
        <f t="shared" si="70"/>
        <v>81922.054400000008</v>
      </c>
      <c r="H223" s="44">
        <f t="shared" si="71"/>
        <v>0.30572376570234716</v>
      </c>
      <c r="I223" s="43">
        <v>27490</v>
      </c>
      <c r="J223" s="43"/>
      <c r="K223" s="43"/>
      <c r="L223" s="43">
        <f t="shared" si="72"/>
        <v>27490</v>
      </c>
      <c r="M223" s="43">
        <v>26295</v>
      </c>
      <c r="N223" s="43">
        <f t="shared" si="73"/>
        <v>-1195</v>
      </c>
      <c r="O223" s="43">
        <f t="shared" si="84"/>
        <v>95.652964714441609</v>
      </c>
      <c r="P223" s="43">
        <v>90919.400000000009</v>
      </c>
      <c r="Q223" s="44">
        <f t="shared" si="75"/>
        <v>0.37095378277455116</v>
      </c>
      <c r="R223" s="43">
        <f>6201897*Q223/100+3000</f>
        <v>26006.171525281407</v>
      </c>
      <c r="S223" s="43"/>
      <c r="T223" s="43"/>
      <c r="U223" s="43">
        <v>7500</v>
      </c>
      <c r="V223" s="43"/>
      <c r="W223" s="43"/>
      <c r="X223" s="43">
        <f t="shared" si="77"/>
        <v>33506.171525281403</v>
      </c>
      <c r="Y223" s="43">
        <v>27219.633999999998</v>
      </c>
      <c r="Z223" s="43">
        <f t="shared" si="83"/>
        <v>27219.633999999998</v>
      </c>
      <c r="AA223" s="43"/>
      <c r="AB223" s="43">
        <v>2992.7</v>
      </c>
      <c r="AC223" s="43"/>
      <c r="AD223" s="43">
        <f t="shared" si="68"/>
        <v>30212.333999999999</v>
      </c>
      <c r="AE223" s="43">
        <v>27577.200000000001</v>
      </c>
      <c r="AF223" s="43"/>
      <c r="AG223" s="43"/>
      <c r="AH223" s="42">
        <f t="shared" si="79"/>
        <v>27577.200000000001</v>
      </c>
      <c r="AI223" s="41">
        <v>27132.6</v>
      </c>
      <c r="AJ223" s="40">
        <v>29045.1</v>
      </c>
      <c r="AK223" s="49">
        <f>35073.3-5000</f>
        <v>30073.300000000003</v>
      </c>
      <c r="AL223" s="39">
        <f t="shared" si="80"/>
        <v>30073.300000000003</v>
      </c>
      <c r="AM223" s="49"/>
      <c r="AN223" s="49">
        <f t="shared" si="81"/>
        <v>30073.300000000003</v>
      </c>
      <c r="AO223" s="49">
        <f>89219.3/3</f>
        <v>29739.766666666666</v>
      </c>
    </row>
    <row r="224" spans="1:41" s="18" customFormat="1" ht="20.399999999999999" x14ac:dyDescent="0.25">
      <c r="A224" s="46">
        <v>53110</v>
      </c>
      <c r="B224" s="45" t="s">
        <v>82</v>
      </c>
      <c r="C224" s="43">
        <v>30377.5</v>
      </c>
      <c r="D224" s="43">
        <f t="shared" si="69"/>
        <v>2531.4583333333335</v>
      </c>
      <c r="E224" s="43">
        <v>2490.9</v>
      </c>
      <c r="F224" s="43">
        <v>2378.5</v>
      </c>
      <c r="G224" s="43">
        <f t="shared" si="70"/>
        <v>7077.9575000000004</v>
      </c>
      <c r="H224" s="44">
        <f t="shared" si="71"/>
        <v>2.6834097089834627E-2</v>
      </c>
      <c r="I224" s="43">
        <v>2170.5</v>
      </c>
      <c r="J224" s="43"/>
      <c r="K224" s="43"/>
      <c r="L224" s="43">
        <f t="shared" si="72"/>
        <v>2170.5</v>
      </c>
      <c r="M224" s="43">
        <v>2170.5</v>
      </c>
      <c r="N224" s="43">
        <f t="shared" si="73"/>
        <v>0</v>
      </c>
      <c r="O224" s="43">
        <f t="shared" si="84"/>
        <v>100</v>
      </c>
      <c r="P224" s="43">
        <v>8028.9</v>
      </c>
      <c r="Q224" s="44">
        <f t="shared" si="75"/>
        <v>3.2758144318138845E-2</v>
      </c>
      <c r="R224" s="43">
        <f>6201897*Q224/100+100</f>
        <v>2131.6263697223235</v>
      </c>
      <c r="S224" s="43">
        <v>58217</v>
      </c>
      <c r="T224" s="43"/>
      <c r="U224" s="43"/>
      <c r="V224" s="43"/>
      <c r="W224" s="43"/>
      <c r="X224" s="43">
        <f t="shared" si="77"/>
        <v>60348.626369722326</v>
      </c>
      <c r="Y224" s="43">
        <v>2017.8</v>
      </c>
      <c r="Z224" s="43">
        <f t="shared" si="83"/>
        <v>2017.8</v>
      </c>
      <c r="AA224" s="43"/>
      <c r="AB224" s="43"/>
      <c r="AC224" s="43"/>
      <c r="AD224" s="43">
        <f t="shared" si="68"/>
        <v>2017.8</v>
      </c>
      <c r="AE224" s="43">
        <v>2862.4</v>
      </c>
      <c r="AF224" s="43"/>
      <c r="AG224" s="43"/>
      <c r="AH224" s="42">
        <f t="shared" si="79"/>
        <v>2862.4</v>
      </c>
      <c r="AI224" s="41">
        <v>2862.4</v>
      </c>
      <c r="AJ224" s="49">
        <v>28602.2</v>
      </c>
      <c r="AK224" s="49">
        <f>18637.1-16000</f>
        <v>2637.0999999999985</v>
      </c>
      <c r="AL224" s="39">
        <f t="shared" si="80"/>
        <v>2637.0999999999985</v>
      </c>
      <c r="AM224" s="49">
        <v>16082</v>
      </c>
      <c r="AN224" s="49">
        <f t="shared" si="81"/>
        <v>18719.099999999999</v>
      </c>
      <c r="AO224" s="49">
        <f>6634.1/3</f>
        <v>2211.3666666666668</v>
      </c>
    </row>
    <row r="225" spans="1:41" s="18" customFormat="1" ht="20.399999999999999" x14ac:dyDescent="0.25">
      <c r="A225" s="46">
        <v>53120</v>
      </c>
      <c r="B225" s="45" t="s">
        <v>81</v>
      </c>
      <c r="C225" s="43">
        <v>149008</v>
      </c>
      <c r="D225" s="43">
        <f t="shared" si="69"/>
        <v>12417.333333333334</v>
      </c>
      <c r="E225" s="43">
        <v>12475.3</v>
      </c>
      <c r="F225" s="43">
        <v>12273.7</v>
      </c>
      <c r="G225" s="43">
        <f t="shared" si="70"/>
        <v>34718.864000000001</v>
      </c>
      <c r="H225" s="44">
        <f t="shared" si="71"/>
        <v>0.13638581116283674</v>
      </c>
      <c r="I225" s="43">
        <v>10501.2</v>
      </c>
      <c r="J225" s="43"/>
      <c r="K225" s="43"/>
      <c r="L225" s="43">
        <f t="shared" si="72"/>
        <v>10501.2</v>
      </c>
      <c r="M225" s="43">
        <v>10247.1</v>
      </c>
      <c r="N225" s="43">
        <f t="shared" si="73"/>
        <v>-254.10000000000036</v>
      </c>
      <c r="O225" s="43">
        <f t="shared" si="84"/>
        <v>97.580276539824013</v>
      </c>
      <c r="P225" s="43">
        <v>38677.100000000006</v>
      </c>
      <c r="Q225" s="44">
        <f t="shared" si="75"/>
        <v>0.15780368713112486</v>
      </c>
      <c r="R225" s="43">
        <f>6201897*Q225/100+400</f>
        <v>10186.822138074618</v>
      </c>
      <c r="S225" s="43"/>
      <c r="T225" s="43"/>
      <c r="U225" s="43"/>
      <c r="V225" s="43"/>
      <c r="W225" s="43"/>
      <c r="X225" s="43">
        <f t="shared" si="77"/>
        <v>10186.822138074618</v>
      </c>
      <c r="Y225" s="43">
        <v>11321.699999999999</v>
      </c>
      <c r="Z225" s="43">
        <f t="shared" si="83"/>
        <v>11321.699999999999</v>
      </c>
      <c r="AA225" s="43">
        <v>100</v>
      </c>
      <c r="AB225" s="43"/>
      <c r="AC225" s="43"/>
      <c r="AD225" s="43">
        <f t="shared" si="68"/>
        <v>11421.699999999999</v>
      </c>
      <c r="AE225" s="43">
        <v>13602.8</v>
      </c>
      <c r="AF225" s="43"/>
      <c r="AG225" s="43"/>
      <c r="AH225" s="42">
        <f t="shared" si="79"/>
        <v>13602.8</v>
      </c>
      <c r="AI225" s="41">
        <v>13188.3</v>
      </c>
      <c r="AJ225" s="40">
        <v>12142.2</v>
      </c>
      <c r="AK225" s="49">
        <f>15572-4000</f>
        <v>11572</v>
      </c>
      <c r="AL225" s="39">
        <f t="shared" si="80"/>
        <v>11572</v>
      </c>
      <c r="AM225" s="49"/>
      <c r="AN225" s="49">
        <f t="shared" si="81"/>
        <v>11572</v>
      </c>
      <c r="AO225" s="49">
        <f>36873.5/3</f>
        <v>12291.166666666666</v>
      </c>
    </row>
    <row r="226" spans="1:41" s="18" customFormat="1" ht="14.25" customHeight="1" x14ac:dyDescent="0.25">
      <c r="A226" s="46">
        <v>53310</v>
      </c>
      <c r="B226" s="45" t="s">
        <v>80</v>
      </c>
      <c r="C226" s="43">
        <v>55025.4</v>
      </c>
      <c r="D226" s="43">
        <f t="shared" si="69"/>
        <v>4585.45</v>
      </c>
      <c r="E226" s="43">
        <v>4119.3999999999996</v>
      </c>
      <c r="F226" s="43">
        <v>3789.9</v>
      </c>
      <c r="G226" s="43">
        <f t="shared" si="70"/>
        <v>12820.9182</v>
      </c>
      <c r="H226" s="44">
        <f t="shared" si="71"/>
        <v>4.358625787830718E-2</v>
      </c>
      <c r="I226" s="43">
        <v>4842.5</v>
      </c>
      <c r="J226" s="43"/>
      <c r="K226" s="43"/>
      <c r="L226" s="43">
        <f t="shared" si="72"/>
        <v>4842.5</v>
      </c>
      <c r="M226" s="43">
        <v>4842.5</v>
      </c>
      <c r="N226" s="43">
        <f t="shared" si="73"/>
        <v>0</v>
      </c>
      <c r="O226" s="43">
        <f t="shared" si="84"/>
        <v>100</v>
      </c>
      <c r="P226" s="43">
        <v>15062.8</v>
      </c>
      <c r="Q226" s="44">
        <f t="shared" si="75"/>
        <v>6.1456659845715092E-2</v>
      </c>
      <c r="R226" s="43">
        <f>6201897*Q226/100</f>
        <v>3811.4787432716089</v>
      </c>
      <c r="S226" s="43"/>
      <c r="T226" s="43"/>
      <c r="U226" s="43"/>
      <c r="V226" s="43"/>
      <c r="W226" s="43"/>
      <c r="X226" s="43">
        <f t="shared" si="77"/>
        <v>3811.4787432716089</v>
      </c>
      <c r="Y226" s="43">
        <v>4047.4319999999998</v>
      </c>
      <c r="Z226" s="43">
        <f t="shared" si="83"/>
        <v>4047.4319999999998</v>
      </c>
      <c r="AA226" s="43"/>
      <c r="AB226" s="43"/>
      <c r="AC226" s="43"/>
      <c r="AD226" s="43">
        <f t="shared" si="68"/>
        <v>4047.4319999999998</v>
      </c>
      <c r="AE226" s="43">
        <v>7203.9</v>
      </c>
      <c r="AF226" s="43"/>
      <c r="AG226" s="43"/>
      <c r="AH226" s="42">
        <f t="shared" si="79"/>
        <v>7203.9</v>
      </c>
      <c r="AI226" s="41">
        <v>4496.3</v>
      </c>
      <c r="AJ226" s="40">
        <v>5061.8999999999996</v>
      </c>
      <c r="AK226" s="49">
        <f>4205.7-400</f>
        <v>3805.7</v>
      </c>
      <c r="AL226" s="39">
        <f t="shared" si="80"/>
        <v>3805.7</v>
      </c>
      <c r="AM226" s="49"/>
      <c r="AN226" s="49">
        <f t="shared" si="81"/>
        <v>3805.7</v>
      </c>
      <c r="AO226" s="49">
        <f>13492.2/3</f>
        <v>4497.4000000000005</v>
      </c>
    </row>
    <row r="227" spans="1:41" s="18" customFormat="1" ht="13.5" customHeight="1" x14ac:dyDescent="0.25">
      <c r="A227" s="46">
        <v>53320</v>
      </c>
      <c r="B227" s="45" t="s">
        <v>79</v>
      </c>
      <c r="C227" s="43">
        <v>150069.4</v>
      </c>
      <c r="D227" s="43">
        <f t="shared" si="69"/>
        <v>12505.783333333333</v>
      </c>
      <c r="E227" s="43">
        <v>10424.9</v>
      </c>
      <c r="F227" s="43">
        <v>12393.3</v>
      </c>
      <c r="G227" s="43">
        <f t="shared" si="70"/>
        <v>34966.1702</v>
      </c>
      <c r="H227" s="44">
        <f t="shared" si="71"/>
        <v>0.12574563482467335</v>
      </c>
      <c r="I227" s="43">
        <v>12029.6</v>
      </c>
      <c r="J227" s="43"/>
      <c r="K227" s="43"/>
      <c r="L227" s="43">
        <f t="shared" si="72"/>
        <v>12029.6</v>
      </c>
      <c r="M227" s="43">
        <v>12029.6</v>
      </c>
      <c r="N227" s="43">
        <f t="shared" si="73"/>
        <v>0</v>
      </c>
      <c r="O227" s="43">
        <f t="shared" si="84"/>
        <v>100</v>
      </c>
      <c r="P227" s="43">
        <v>38729.599999999991</v>
      </c>
      <c r="Q227" s="44">
        <f t="shared" si="75"/>
        <v>0.15801788865022484</v>
      </c>
      <c r="R227" s="43">
        <f>6201897*Q227/100+2200</f>
        <v>12000.106695661634</v>
      </c>
      <c r="S227" s="43"/>
      <c r="T227" s="43"/>
      <c r="U227" s="43"/>
      <c r="V227" s="43"/>
      <c r="W227" s="43"/>
      <c r="X227" s="43">
        <f t="shared" si="77"/>
        <v>12000.106695661634</v>
      </c>
      <c r="Y227" s="43">
        <v>10860.432999999999</v>
      </c>
      <c r="Z227" s="43">
        <f t="shared" si="83"/>
        <v>10860.432999999999</v>
      </c>
      <c r="AA227" s="43"/>
      <c r="AB227" s="43"/>
      <c r="AC227" s="43"/>
      <c r="AD227" s="43">
        <f t="shared" ref="AD227:AD245" si="85">SUM(Z227:AC227)</f>
        <v>10860.432999999999</v>
      </c>
      <c r="AE227" s="43">
        <v>13360.3</v>
      </c>
      <c r="AF227" s="43"/>
      <c r="AG227" s="43"/>
      <c r="AH227" s="42">
        <f t="shared" si="79"/>
        <v>13360.3</v>
      </c>
      <c r="AI227" s="41">
        <v>12208.3</v>
      </c>
      <c r="AJ227" s="40">
        <v>11583.7</v>
      </c>
      <c r="AK227" s="49">
        <f>14927.2-3000</f>
        <v>11927.2</v>
      </c>
      <c r="AL227" s="39">
        <f t="shared" si="80"/>
        <v>11927.2</v>
      </c>
      <c r="AM227" s="49"/>
      <c r="AN227" s="49">
        <f t="shared" si="81"/>
        <v>11927.2</v>
      </c>
      <c r="AO227" s="49">
        <f>36281.4/3</f>
        <v>12093.800000000001</v>
      </c>
    </row>
    <row r="228" spans="1:41" s="18" customFormat="1" ht="24" customHeight="1" x14ac:dyDescent="0.25">
      <c r="A228" s="46">
        <v>54110</v>
      </c>
      <c r="B228" s="45" t="s">
        <v>78</v>
      </c>
      <c r="C228" s="43">
        <v>88411.6</v>
      </c>
      <c r="D228" s="43">
        <f t="shared" si="69"/>
        <v>7367.6333333333341</v>
      </c>
      <c r="E228" s="43">
        <v>3174</v>
      </c>
      <c r="F228" s="43">
        <v>5825.3</v>
      </c>
      <c r="G228" s="43">
        <f t="shared" si="70"/>
        <v>20599.902800000003</v>
      </c>
      <c r="H228" s="44">
        <f t="shared" si="71"/>
        <v>4.9592986803414944E-2</v>
      </c>
      <c r="I228" s="43">
        <v>6387.7</v>
      </c>
      <c r="J228" s="43"/>
      <c r="K228" s="43"/>
      <c r="L228" s="43">
        <f t="shared" si="72"/>
        <v>6387.7</v>
      </c>
      <c r="M228" s="43">
        <v>4733.2</v>
      </c>
      <c r="N228" s="43">
        <f t="shared" si="73"/>
        <v>-1654.5</v>
      </c>
      <c r="O228" s="43">
        <f t="shared" si="84"/>
        <v>74.098658359033763</v>
      </c>
      <c r="P228" s="43">
        <v>17931</v>
      </c>
      <c r="Q228" s="44">
        <f t="shared" si="75"/>
        <v>7.3158998837767039E-2</v>
      </c>
      <c r="R228" s="43">
        <f>6201897*Q228/100</f>
        <v>4537.2457541495087</v>
      </c>
      <c r="S228" s="43">
        <f>1374.4-1374.4</f>
        <v>0</v>
      </c>
      <c r="T228" s="43">
        <v>725.1</v>
      </c>
      <c r="U228" s="43"/>
      <c r="V228" s="43"/>
      <c r="W228" s="43"/>
      <c r="X228" s="43">
        <f t="shared" si="77"/>
        <v>5262.345754149509</v>
      </c>
      <c r="Y228" s="43">
        <v>3540.9660000000003</v>
      </c>
      <c r="Z228" s="43">
        <f t="shared" si="83"/>
        <v>3540.9660000000003</v>
      </c>
      <c r="AA228" s="43"/>
      <c r="AB228" s="43"/>
      <c r="AC228" s="43"/>
      <c r="AD228" s="43">
        <f t="shared" si="85"/>
        <v>3540.9660000000003</v>
      </c>
      <c r="AE228" s="43">
        <v>4360.7</v>
      </c>
      <c r="AF228" s="43">
        <v>2604.4</v>
      </c>
      <c r="AG228" s="43"/>
      <c r="AH228" s="42">
        <f t="shared" si="79"/>
        <v>6965.1</v>
      </c>
      <c r="AI228" s="41">
        <f>4887.3+2236.1</f>
        <v>7123.4</v>
      </c>
      <c r="AJ228" s="40">
        <v>5802.6</v>
      </c>
      <c r="AK228" s="49">
        <f>6392.5-500</f>
        <v>5892.5</v>
      </c>
      <c r="AL228" s="39">
        <f t="shared" si="80"/>
        <v>5892.5</v>
      </c>
      <c r="AM228" s="49"/>
      <c r="AN228" s="49">
        <f t="shared" si="81"/>
        <v>5892.5</v>
      </c>
      <c r="AO228" s="49">
        <f>10860.7/3</f>
        <v>3620.2333333333336</v>
      </c>
    </row>
    <row r="229" spans="1:41" s="18" customFormat="1" ht="24.75" customHeight="1" x14ac:dyDescent="0.25">
      <c r="A229" s="46">
        <v>54120</v>
      </c>
      <c r="B229" s="45" t="s">
        <v>77</v>
      </c>
      <c r="C229" s="43">
        <v>130236.2</v>
      </c>
      <c r="D229" s="43">
        <f t="shared" si="69"/>
        <v>10853.016666666666</v>
      </c>
      <c r="E229" s="43">
        <v>9020</v>
      </c>
      <c r="F229" s="43">
        <v>11296.6</v>
      </c>
      <c r="G229" s="43">
        <f t="shared" si="70"/>
        <v>30345.034599999999</v>
      </c>
      <c r="H229" s="44">
        <f t="shared" si="71"/>
        <v>0.11195991640352695</v>
      </c>
      <c r="I229" s="43">
        <v>9208.7000000000007</v>
      </c>
      <c r="J229" s="43"/>
      <c r="K229" s="43"/>
      <c r="L229" s="43">
        <f t="shared" si="72"/>
        <v>9208.7000000000007</v>
      </c>
      <c r="M229" s="43">
        <v>9208.7000000000007</v>
      </c>
      <c r="N229" s="43">
        <f t="shared" si="73"/>
        <v>0</v>
      </c>
      <c r="O229" s="43">
        <f t="shared" si="84"/>
        <v>100</v>
      </c>
      <c r="P229" s="43">
        <v>41326.799999999996</v>
      </c>
      <c r="Q229" s="44">
        <f t="shared" si="75"/>
        <v>0.16861453980082708</v>
      </c>
      <c r="R229" s="43">
        <f>6201897*Q229/100</f>
        <v>10457.300085471301</v>
      </c>
      <c r="S229" s="43">
        <f>3285.1-3285.1</f>
        <v>0</v>
      </c>
      <c r="T229" s="43">
        <v>2745.9</v>
      </c>
      <c r="U229" s="43"/>
      <c r="V229" s="43"/>
      <c r="W229" s="43"/>
      <c r="X229" s="43">
        <f t="shared" si="77"/>
        <v>13203.200085471301</v>
      </c>
      <c r="Y229" s="43">
        <v>9634.5319999999992</v>
      </c>
      <c r="Z229" s="43">
        <f t="shared" si="83"/>
        <v>9634.5319999999992</v>
      </c>
      <c r="AA229" s="43"/>
      <c r="AB229" s="43"/>
      <c r="AC229" s="43"/>
      <c r="AD229" s="43">
        <f t="shared" si="85"/>
        <v>9634.5319999999992</v>
      </c>
      <c r="AE229" s="43">
        <v>13467.1</v>
      </c>
      <c r="AF229" s="43"/>
      <c r="AG229" s="43"/>
      <c r="AH229" s="42">
        <f t="shared" si="79"/>
        <v>13467.1</v>
      </c>
      <c r="AI229" s="41">
        <f>11357.2+4730.9</f>
        <v>16088.1</v>
      </c>
      <c r="AJ229" s="40">
        <v>12759</v>
      </c>
      <c r="AK229" s="49">
        <f>15647.4-3000</f>
        <v>12647.4</v>
      </c>
      <c r="AL229" s="39">
        <f t="shared" si="80"/>
        <v>12647.4</v>
      </c>
      <c r="AM229" s="49"/>
      <c r="AN229" s="49">
        <f t="shared" si="81"/>
        <v>12647.4</v>
      </c>
      <c r="AO229" s="49">
        <f>30274.6/3</f>
        <v>10091.533333333333</v>
      </c>
    </row>
    <row r="230" spans="1:41" s="18" customFormat="1" ht="20.399999999999999" x14ac:dyDescent="0.25">
      <c r="A230" s="46">
        <v>55110</v>
      </c>
      <c r="B230" s="50" t="s">
        <v>76</v>
      </c>
      <c r="C230" s="43">
        <v>28093</v>
      </c>
      <c r="D230" s="43">
        <f t="shared" si="69"/>
        <v>2341.0833333333335</v>
      </c>
      <c r="E230" s="43">
        <v>1858</v>
      </c>
      <c r="F230" s="43">
        <v>2247.5</v>
      </c>
      <c r="G230" s="43">
        <f t="shared" si="70"/>
        <v>6545.6689999999999</v>
      </c>
      <c r="H230" s="44">
        <f t="shared" si="71"/>
        <v>2.2624427157825616E-2</v>
      </c>
      <c r="I230" s="43">
        <f>7990664.7*H230/100+200</f>
        <v>2007.8421144775848</v>
      </c>
      <c r="J230" s="43"/>
      <c r="K230" s="43"/>
      <c r="L230" s="43">
        <f t="shared" si="72"/>
        <v>2007.8421144775848</v>
      </c>
      <c r="M230" s="43">
        <v>2007.8</v>
      </c>
      <c r="N230" s="43">
        <f t="shared" si="73"/>
        <v>-4.2114477584846099E-2</v>
      </c>
      <c r="O230" s="43">
        <f t="shared" si="84"/>
        <v>99.997902500536213</v>
      </c>
      <c r="P230" s="43">
        <v>7207.5</v>
      </c>
      <c r="Q230" s="44">
        <f t="shared" si="75"/>
        <v>2.9406808550733698E-2</v>
      </c>
      <c r="R230" s="43">
        <f>6201897*Q230/100</f>
        <v>1823.7799773036968</v>
      </c>
      <c r="S230" s="43"/>
      <c r="T230" s="43"/>
      <c r="U230" s="43"/>
      <c r="V230" s="43"/>
      <c r="W230" s="43"/>
      <c r="X230" s="43">
        <f t="shared" si="77"/>
        <v>1823.7799773036968</v>
      </c>
      <c r="Y230" s="43">
        <v>1773.799</v>
      </c>
      <c r="Z230" s="43">
        <f t="shared" si="83"/>
        <v>1773.799</v>
      </c>
      <c r="AA230" s="43"/>
      <c r="AB230" s="43"/>
      <c r="AC230" s="43">
        <v>3092.4</v>
      </c>
      <c r="AD230" s="43">
        <f t="shared" si="85"/>
        <v>4866.1990000000005</v>
      </c>
      <c r="AE230" s="43">
        <v>2561.6</v>
      </c>
      <c r="AF230" s="43">
        <v>1490.1</v>
      </c>
      <c r="AG230" s="43"/>
      <c r="AH230" s="42">
        <f t="shared" si="79"/>
        <v>4051.7</v>
      </c>
      <c r="AI230" s="41">
        <v>2577</v>
      </c>
      <c r="AJ230" s="40">
        <v>6623.4</v>
      </c>
      <c r="AK230" s="49">
        <f>14055.6-7000-1000</f>
        <v>6055.6</v>
      </c>
      <c r="AL230" s="39">
        <f t="shared" si="80"/>
        <v>6055.6</v>
      </c>
      <c r="AM230" s="49"/>
      <c r="AN230" s="49">
        <f t="shared" si="81"/>
        <v>6055.6</v>
      </c>
      <c r="AO230" s="49">
        <f>6349.3/3</f>
        <v>2116.4333333333334</v>
      </c>
    </row>
    <row r="231" spans="1:41" s="18" customFormat="1" ht="23.25" customHeight="1" x14ac:dyDescent="0.25">
      <c r="A231" s="46">
        <v>55120</v>
      </c>
      <c r="B231" s="50" t="s">
        <v>75</v>
      </c>
      <c r="C231" s="43">
        <v>35503.300000000003</v>
      </c>
      <c r="D231" s="43">
        <f t="shared" si="69"/>
        <v>2958.6083333333336</v>
      </c>
      <c r="E231" s="43"/>
      <c r="F231" s="43"/>
      <c r="G231" s="43">
        <f t="shared" si="70"/>
        <v>8272.2689000000009</v>
      </c>
      <c r="H231" s="44">
        <f t="shared" si="71"/>
        <v>0</v>
      </c>
      <c r="I231" s="43">
        <v>2958.6</v>
      </c>
      <c r="J231" s="43"/>
      <c r="K231" s="43"/>
      <c r="L231" s="43">
        <f t="shared" si="72"/>
        <v>2958.6</v>
      </c>
      <c r="M231" s="43">
        <v>2958.6</v>
      </c>
      <c r="N231" s="43">
        <f t="shared" si="73"/>
        <v>0</v>
      </c>
      <c r="O231" s="43">
        <f t="shared" si="84"/>
        <v>100</v>
      </c>
      <c r="P231" s="43">
        <v>10686.5</v>
      </c>
      <c r="Q231" s="44">
        <f t="shared" si="75"/>
        <v>4.3601229216429505E-2</v>
      </c>
      <c r="R231" s="43">
        <f>6201897*Q231/100-800</f>
        <v>1904.1033267368648</v>
      </c>
      <c r="S231" s="43"/>
      <c r="T231" s="43"/>
      <c r="U231" s="43"/>
      <c r="V231" s="43"/>
      <c r="W231" s="43"/>
      <c r="X231" s="43">
        <f t="shared" si="77"/>
        <v>1904.1033267368648</v>
      </c>
      <c r="Y231" s="43"/>
      <c r="Z231" s="43">
        <f t="shared" si="83"/>
        <v>0</v>
      </c>
      <c r="AA231" s="43"/>
      <c r="AB231" s="43"/>
      <c r="AC231" s="43"/>
      <c r="AD231" s="43">
        <f t="shared" si="85"/>
        <v>0</v>
      </c>
      <c r="AE231" s="43"/>
      <c r="AF231" s="43"/>
      <c r="AG231" s="43"/>
      <c r="AH231" s="42">
        <f t="shared" si="79"/>
        <v>0</v>
      </c>
      <c r="AI231" s="41">
        <f>1846.4</f>
        <v>1846.4</v>
      </c>
      <c r="AJ231" s="40">
        <v>0</v>
      </c>
      <c r="AK231" s="49"/>
      <c r="AL231" s="39">
        <f t="shared" si="80"/>
        <v>0</v>
      </c>
      <c r="AM231" s="49"/>
      <c r="AN231" s="49">
        <f t="shared" si="81"/>
        <v>0</v>
      </c>
      <c r="AO231" s="49"/>
    </row>
    <row r="232" spans="1:41" s="18" customFormat="1" ht="20.399999999999999" x14ac:dyDescent="0.25">
      <c r="A232" s="46">
        <v>55420</v>
      </c>
      <c r="B232" s="45" t="s">
        <v>74</v>
      </c>
      <c r="C232" s="43">
        <v>75342.5</v>
      </c>
      <c r="D232" s="43">
        <f t="shared" ref="D232:D245" si="86">C232/12</f>
        <v>6278.541666666667</v>
      </c>
      <c r="E232" s="43">
        <v>5250.4</v>
      </c>
      <c r="F232" s="43">
        <v>4313.6000000000004</v>
      </c>
      <c r="G232" s="43">
        <f t="shared" ref="G232:G245" si="87">C232*23.3/100</f>
        <v>17554.802500000002</v>
      </c>
      <c r="H232" s="44">
        <f t="shared" ref="H232:H245" si="88">(E232+F232)/(8725103.2+9421212.6)*100</f>
        <v>5.2704913247459309E-2</v>
      </c>
      <c r="I232" s="43">
        <f>7990664.7*H232/100+500</f>
        <v>4711.4728980303553</v>
      </c>
      <c r="J232" s="43"/>
      <c r="K232" s="43"/>
      <c r="L232" s="43">
        <f t="shared" ref="L232:L245" si="89">SUM(I232:K232)</f>
        <v>4711.4728980303553</v>
      </c>
      <c r="M232" s="43">
        <v>4550.1000000000004</v>
      </c>
      <c r="N232" s="43">
        <f t="shared" ref="N232:N245" si="90">M232-L232</f>
        <v>-161.37289803035492</v>
      </c>
      <c r="O232" s="43">
        <f t="shared" si="84"/>
        <v>96.574894910298283</v>
      </c>
      <c r="P232" s="43">
        <v>19768.899999999998</v>
      </c>
      <c r="Q232" s="44">
        <f t="shared" ref="Q232:Q245" si="91">P232/24509630.1*100</f>
        <v>8.0657684017842429E-2</v>
      </c>
      <c r="R232" s="43">
        <f>6201897*Q232/100</f>
        <v>5002.3064853720489</v>
      </c>
      <c r="S232" s="43"/>
      <c r="T232" s="43"/>
      <c r="U232" s="43"/>
      <c r="V232" s="43"/>
      <c r="W232" s="43"/>
      <c r="X232" s="43">
        <f t="shared" si="77"/>
        <v>5002.3064853720489</v>
      </c>
      <c r="Y232" s="43">
        <v>4838.165</v>
      </c>
      <c r="Z232" s="43">
        <f t="shared" si="83"/>
        <v>4838.165</v>
      </c>
      <c r="AA232" s="43"/>
      <c r="AB232" s="43"/>
      <c r="AC232" s="43"/>
      <c r="AD232" s="43">
        <f t="shared" si="85"/>
        <v>4838.165</v>
      </c>
      <c r="AE232" s="43">
        <f>9950.8-4000</f>
        <v>5950.7999999999993</v>
      </c>
      <c r="AF232" s="43"/>
      <c r="AG232" s="43"/>
      <c r="AH232" s="42">
        <f t="shared" si="79"/>
        <v>5950.7999999999993</v>
      </c>
      <c r="AI232" s="41">
        <v>6301.8</v>
      </c>
      <c r="AJ232" s="40">
        <v>7307.4</v>
      </c>
      <c r="AK232" s="49">
        <f>7623.4-2000</f>
        <v>5623.4</v>
      </c>
      <c r="AL232" s="39">
        <f t="shared" si="80"/>
        <v>5623.4</v>
      </c>
      <c r="AM232" s="49"/>
      <c r="AN232" s="49">
        <f t="shared" si="81"/>
        <v>5623.4</v>
      </c>
      <c r="AO232" s="49">
        <f>15872.9/3</f>
        <v>5290.9666666666662</v>
      </c>
    </row>
    <row r="233" spans="1:41" s="18" customFormat="1" ht="24.75" customHeight="1" x14ac:dyDescent="0.25">
      <c r="A233" s="46">
        <v>56110</v>
      </c>
      <c r="B233" s="45" t="s">
        <v>73</v>
      </c>
      <c r="C233" s="43">
        <v>19960.3</v>
      </c>
      <c r="D233" s="43">
        <f t="shared" si="86"/>
        <v>1663.3583333333333</v>
      </c>
      <c r="E233" s="43">
        <v>820</v>
      </c>
      <c r="F233" s="43">
        <v>1035.2</v>
      </c>
      <c r="G233" s="43">
        <f t="shared" si="87"/>
        <v>4650.7498999999998</v>
      </c>
      <c r="H233" s="44">
        <f t="shared" si="88"/>
        <v>1.0223562845743047E-2</v>
      </c>
      <c r="I233" s="43">
        <f>7990664.7*H233/100+100</f>
        <v>916.93062739710513</v>
      </c>
      <c r="J233" s="43"/>
      <c r="K233" s="43"/>
      <c r="L233" s="43">
        <f t="shared" si="89"/>
        <v>916.93062739710513</v>
      </c>
      <c r="M233" s="43">
        <v>886</v>
      </c>
      <c r="N233" s="43">
        <f t="shared" si="90"/>
        <v>-30.930627397105127</v>
      </c>
      <c r="O233" s="43">
        <f t="shared" si="84"/>
        <v>96.626721098311648</v>
      </c>
      <c r="P233" s="43">
        <v>5513.4000000000005</v>
      </c>
      <c r="Q233" s="44">
        <f t="shared" si="91"/>
        <v>2.2494831531545634E-2</v>
      </c>
      <c r="R233" s="43">
        <f>6201897*Q233/100-400</f>
        <v>995.10628190998273</v>
      </c>
      <c r="S233" s="43"/>
      <c r="T233" s="43"/>
      <c r="U233" s="43"/>
      <c r="V233" s="43"/>
      <c r="W233" s="43"/>
      <c r="X233" s="43">
        <f t="shared" si="77"/>
        <v>995.10628190998273</v>
      </c>
      <c r="Y233" s="43">
        <v>1023.6650000000001</v>
      </c>
      <c r="Z233" s="43">
        <f t="shared" si="83"/>
        <v>1023.6650000000001</v>
      </c>
      <c r="AA233" s="43"/>
      <c r="AB233" s="43"/>
      <c r="AC233" s="43">
        <v>300</v>
      </c>
      <c r="AD233" s="43">
        <f t="shared" si="85"/>
        <v>1323.665</v>
      </c>
      <c r="AE233" s="43">
        <v>1417.9</v>
      </c>
      <c r="AF233" s="43"/>
      <c r="AG233" s="43"/>
      <c r="AH233" s="42">
        <f t="shared" si="79"/>
        <v>1417.9</v>
      </c>
      <c r="AI233" s="41">
        <f>1871.4+1000</f>
        <v>2871.4</v>
      </c>
      <c r="AJ233" s="40">
        <v>1889.6</v>
      </c>
      <c r="AK233" s="49">
        <f>3553.2-1000-1000</f>
        <v>1553.1999999999998</v>
      </c>
      <c r="AL233" s="39">
        <f t="shared" si="80"/>
        <v>1553.1999999999998</v>
      </c>
      <c r="AM233" s="49"/>
      <c r="AN233" s="49">
        <f t="shared" si="81"/>
        <v>1553.1999999999998</v>
      </c>
      <c r="AO233" s="49">
        <f>2958.1/3</f>
        <v>986.0333333333333</v>
      </c>
    </row>
    <row r="234" spans="1:41" s="18" customFormat="1" ht="30.6" x14ac:dyDescent="0.25">
      <c r="A234" s="46">
        <v>56121</v>
      </c>
      <c r="B234" s="45" t="s">
        <v>72</v>
      </c>
      <c r="C234" s="43">
        <f>52829.4+550193.9</f>
        <v>603023.30000000005</v>
      </c>
      <c r="D234" s="43">
        <f t="shared" si="86"/>
        <v>50251.941666666673</v>
      </c>
      <c r="E234" s="43">
        <v>32361.4</v>
      </c>
      <c r="F234" s="43">
        <v>42660.800000000003</v>
      </c>
      <c r="G234" s="43">
        <f t="shared" si="87"/>
        <v>140504.4289</v>
      </c>
      <c r="H234" s="44">
        <f t="shared" si="88"/>
        <v>0.41342937501396299</v>
      </c>
      <c r="I234" s="43">
        <f>7990664.7*H234/100+5000</f>
        <v>38035.755128671357</v>
      </c>
      <c r="J234" s="43"/>
      <c r="K234" s="43">
        <f>336.8+30000</f>
        <v>30336.799999999999</v>
      </c>
      <c r="L234" s="43">
        <f t="shared" si="89"/>
        <v>68372.55512867136</v>
      </c>
      <c r="M234" s="43">
        <v>59984.9</v>
      </c>
      <c r="N234" s="43">
        <f t="shared" si="90"/>
        <v>-8387.6551286713584</v>
      </c>
      <c r="O234" s="43">
        <f t="shared" si="84"/>
        <v>87.732424051015059</v>
      </c>
      <c r="P234" s="43">
        <v>168666.60000000003</v>
      </c>
      <c r="Q234" s="44">
        <f t="shared" si="91"/>
        <v>0.68816460840834981</v>
      </c>
      <c r="R234" s="43">
        <f>6201897*Q234/100</f>
        <v>42679.260203939193</v>
      </c>
      <c r="S234" s="43">
        <f>15000-5000</f>
        <v>10000</v>
      </c>
      <c r="T234" s="43">
        <f>3000+2000</f>
        <v>5000</v>
      </c>
      <c r="U234" s="43"/>
      <c r="V234" s="43">
        <v>2000</v>
      </c>
      <c r="W234" s="43"/>
      <c r="X234" s="43">
        <f t="shared" si="77"/>
        <v>59679.260203939193</v>
      </c>
      <c r="Y234" s="43">
        <v>29510.198</v>
      </c>
      <c r="Z234" s="43">
        <f>Y234+2300</f>
        <v>31810.198</v>
      </c>
      <c r="AA234" s="43">
        <v>30000</v>
      </c>
      <c r="AB234" s="43"/>
      <c r="AC234" s="43">
        <v>4700</v>
      </c>
      <c r="AD234" s="43">
        <f t="shared" si="85"/>
        <v>66510.198000000004</v>
      </c>
      <c r="AE234" s="43">
        <f>46096+13016</f>
        <v>59112</v>
      </c>
      <c r="AF234" s="43"/>
      <c r="AG234" s="43"/>
      <c r="AH234" s="42">
        <f t="shared" si="79"/>
        <v>59112</v>
      </c>
      <c r="AI234" s="41">
        <f>59112+7000</f>
        <v>66112</v>
      </c>
      <c r="AJ234" s="49">
        <v>138474.4</v>
      </c>
      <c r="AK234" s="49">
        <f>109077.2-30000-20000</f>
        <v>59077.2</v>
      </c>
      <c r="AL234" s="39">
        <f t="shared" si="80"/>
        <v>59077.2</v>
      </c>
      <c r="AM234" s="49"/>
      <c r="AN234" s="49">
        <f t="shared" si="81"/>
        <v>59077.2</v>
      </c>
      <c r="AO234" s="49">
        <f>80815.9/3</f>
        <v>26938.633333333331</v>
      </c>
    </row>
    <row r="235" spans="1:41" s="18" customFormat="1" ht="24.75" customHeight="1" x14ac:dyDescent="0.25">
      <c r="A235" s="46">
        <v>58110</v>
      </c>
      <c r="B235" s="45" t="s">
        <v>71</v>
      </c>
      <c r="C235" s="43">
        <v>17754.900000000001</v>
      </c>
      <c r="D235" s="43">
        <f t="shared" si="86"/>
        <v>1479.575</v>
      </c>
      <c r="E235" s="43">
        <v>1440</v>
      </c>
      <c r="F235" s="43">
        <v>1606.2</v>
      </c>
      <c r="G235" s="43">
        <f t="shared" si="87"/>
        <v>4136.8917000000001</v>
      </c>
      <c r="H235" s="44">
        <f t="shared" si="88"/>
        <v>1.6786878579507586E-2</v>
      </c>
      <c r="I235" s="43">
        <v>985.6</v>
      </c>
      <c r="J235" s="43"/>
      <c r="K235" s="43"/>
      <c r="L235" s="43">
        <f t="shared" si="89"/>
        <v>985.6</v>
      </c>
      <c r="M235" s="43">
        <v>985.6</v>
      </c>
      <c r="N235" s="43">
        <f t="shared" si="90"/>
        <v>0</v>
      </c>
      <c r="O235" s="43">
        <f t="shared" si="84"/>
        <v>100</v>
      </c>
      <c r="P235" s="43">
        <v>4571.8</v>
      </c>
      <c r="Q235" s="44">
        <f t="shared" si="91"/>
        <v>1.8653076286124774E-2</v>
      </c>
      <c r="R235" s="43">
        <f>6201897*Q235/100+150</f>
        <v>1306.8445785968838</v>
      </c>
      <c r="S235" s="43"/>
      <c r="T235" s="43"/>
      <c r="U235" s="43"/>
      <c r="V235" s="43"/>
      <c r="W235" s="43"/>
      <c r="X235" s="43">
        <f t="shared" si="77"/>
        <v>1306.8445785968838</v>
      </c>
      <c r="Y235" s="43">
        <v>1255.5980000000002</v>
      </c>
      <c r="Z235" s="43">
        <f t="shared" ref="Z235:Z245" si="92">Y235</f>
        <v>1255.5980000000002</v>
      </c>
      <c r="AA235" s="43">
        <v>409</v>
      </c>
      <c r="AB235" s="43"/>
      <c r="AC235" s="43"/>
      <c r="AD235" s="43">
        <f t="shared" si="85"/>
        <v>1664.5980000000002</v>
      </c>
      <c r="AE235" s="43">
        <v>1600.4</v>
      </c>
      <c r="AF235" s="43"/>
      <c r="AG235" s="43"/>
      <c r="AH235" s="42">
        <f t="shared" si="79"/>
        <v>1600.4</v>
      </c>
      <c r="AI235" s="41">
        <v>1477.1</v>
      </c>
      <c r="AJ235" s="40">
        <v>1477.1</v>
      </c>
      <c r="AK235" s="49">
        <v>1477.2</v>
      </c>
      <c r="AL235" s="39">
        <f t="shared" si="80"/>
        <v>1477.2</v>
      </c>
      <c r="AM235" s="49"/>
      <c r="AN235" s="49">
        <f t="shared" si="81"/>
        <v>1477.2</v>
      </c>
      <c r="AO235" s="49">
        <f>4281.1/3</f>
        <v>1427.0333333333335</v>
      </c>
    </row>
    <row r="236" spans="1:41" s="18" customFormat="1" ht="24.75" customHeight="1" x14ac:dyDescent="0.25">
      <c r="A236" s="46">
        <v>58120</v>
      </c>
      <c r="B236" s="45" t="s">
        <v>70</v>
      </c>
      <c r="C236" s="43">
        <v>2273.9</v>
      </c>
      <c r="D236" s="43">
        <f t="shared" si="86"/>
        <v>189.49166666666667</v>
      </c>
      <c r="E236" s="43">
        <v>182.8</v>
      </c>
      <c r="F236" s="43">
        <v>167</v>
      </c>
      <c r="G236" s="43">
        <f t="shared" si="87"/>
        <v>529.81870000000004</v>
      </c>
      <c r="H236" s="44">
        <f t="shared" si="88"/>
        <v>1.9276640165162345E-3</v>
      </c>
      <c r="I236" s="43">
        <v>171.6</v>
      </c>
      <c r="J236" s="43"/>
      <c r="K236" s="43"/>
      <c r="L236" s="43">
        <f t="shared" si="89"/>
        <v>171.6</v>
      </c>
      <c r="M236" s="43">
        <v>171.6</v>
      </c>
      <c r="N236" s="43">
        <f t="shared" si="90"/>
        <v>0</v>
      </c>
      <c r="O236" s="43">
        <f t="shared" si="84"/>
        <v>100</v>
      </c>
      <c r="P236" s="43">
        <v>593.00000000000011</v>
      </c>
      <c r="Q236" s="44">
        <f t="shared" si="91"/>
        <v>2.4194571585966127E-3</v>
      </c>
      <c r="R236" s="43">
        <f>6201897*Q236/100+20</f>
        <v>170.05224093528858</v>
      </c>
      <c r="S236" s="43"/>
      <c r="T236" s="43"/>
      <c r="U236" s="43"/>
      <c r="V236" s="43"/>
      <c r="W236" s="43"/>
      <c r="X236" s="43">
        <f t="shared" si="77"/>
        <v>170.05224093528858</v>
      </c>
      <c r="Y236" s="43">
        <v>164.86500000000001</v>
      </c>
      <c r="Z236" s="43">
        <f t="shared" si="92"/>
        <v>164.86500000000001</v>
      </c>
      <c r="AA236" s="43">
        <v>89.8</v>
      </c>
      <c r="AB236" s="43"/>
      <c r="AC236" s="43"/>
      <c r="AD236" s="43">
        <f t="shared" si="85"/>
        <v>254.66500000000002</v>
      </c>
      <c r="AE236" s="43">
        <v>168.2</v>
      </c>
      <c r="AF236" s="43"/>
      <c r="AG236" s="43"/>
      <c r="AH236" s="42">
        <f t="shared" si="79"/>
        <v>168.2</v>
      </c>
      <c r="AI236" s="41">
        <v>186</v>
      </c>
      <c r="AJ236" s="40">
        <v>186</v>
      </c>
      <c r="AK236" s="49">
        <v>186.1</v>
      </c>
      <c r="AL236" s="39">
        <f t="shared" si="80"/>
        <v>186.1</v>
      </c>
      <c r="AM236" s="49"/>
      <c r="AN236" s="49">
        <f t="shared" si="81"/>
        <v>186.1</v>
      </c>
      <c r="AO236" s="49">
        <f>483/3</f>
        <v>161</v>
      </c>
    </row>
    <row r="237" spans="1:41" s="18" customFormat="1" ht="14.25" customHeight="1" x14ac:dyDescent="0.25">
      <c r="A237" s="46">
        <v>59110</v>
      </c>
      <c r="B237" s="45" t="s">
        <v>69</v>
      </c>
      <c r="C237" s="43">
        <v>44102.9</v>
      </c>
      <c r="D237" s="43">
        <f t="shared" si="86"/>
        <v>3675.2416666666668</v>
      </c>
      <c r="E237" s="43">
        <v>2707.3</v>
      </c>
      <c r="F237" s="43">
        <v>3114.3</v>
      </c>
      <c r="G237" s="43">
        <f t="shared" si="87"/>
        <v>10275.975700000001</v>
      </c>
      <c r="H237" s="44">
        <f t="shared" si="88"/>
        <v>3.2081443220557206E-2</v>
      </c>
      <c r="I237" s="43">
        <v>2787.7</v>
      </c>
      <c r="J237" s="43"/>
      <c r="K237" s="43"/>
      <c r="L237" s="43">
        <f t="shared" si="89"/>
        <v>2787.7</v>
      </c>
      <c r="M237" s="43">
        <v>2787.7</v>
      </c>
      <c r="N237" s="43">
        <f t="shared" si="90"/>
        <v>0</v>
      </c>
      <c r="O237" s="43">
        <f t="shared" si="84"/>
        <v>100</v>
      </c>
      <c r="P237" s="43">
        <v>11996.100000000002</v>
      </c>
      <c r="Q237" s="44">
        <f t="shared" si="91"/>
        <v>4.8944435110018246E-2</v>
      </c>
      <c r="R237" s="43">
        <f>6201897*Q237/100</f>
        <v>3035.4834527551684</v>
      </c>
      <c r="S237" s="43"/>
      <c r="T237" s="43"/>
      <c r="U237" s="43"/>
      <c r="V237" s="43"/>
      <c r="W237" s="43"/>
      <c r="X237" s="43">
        <f t="shared" si="77"/>
        <v>3035.4834527551684</v>
      </c>
      <c r="Y237" s="43">
        <v>2482.6990000000001</v>
      </c>
      <c r="Z237" s="43">
        <f t="shared" si="92"/>
        <v>2482.6990000000001</v>
      </c>
      <c r="AA237" s="43"/>
      <c r="AB237" s="43"/>
      <c r="AC237" s="43"/>
      <c r="AD237" s="43">
        <f t="shared" si="85"/>
        <v>2482.6990000000001</v>
      </c>
      <c r="AE237" s="43">
        <v>3726</v>
      </c>
      <c r="AF237" s="43"/>
      <c r="AG237" s="43"/>
      <c r="AH237" s="42">
        <f t="shared" si="79"/>
        <v>3726</v>
      </c>
      <c r="AI237" s="41">
        <v>3726</v>
      </c>
      <c r="AJ237" s="49">
        <v>4632.1000000000004</v>
      </c>
      <c r="AK237" s="49">
        <f>5889-1000-2000</f>
        <v>2889</v>
      </c>
      <c r="AL237" s="39">
        <f t="shared" si="80"/>
        <v>2889</v>
      </c>
      <c r="AM237" s="49"/>
      <c r="AN237" s="49">
        <f t="shared" si="81"/>
        <v>2889</v>
      </c>
      <c r="AO237" s="49">
        <f>7817.9/3</f>
        <v>2605.9666666666667</v>
      </c>
    </row>
    <row r="238" spans="1:41" s="18" customFormat="1" ht="12.75" customHeight="1" x14ac:dyDescent="0.25">
      <c r="A238" s="46">
        <v>59120</v>
      </c>
      <c r="B238" s="45" t="s">
        <v>68</v>
      </c>
      <c r="C238" s="43">
        <v>13083.3</v>
      </c>
      <c r="D238" s="43">
        <f t="shared" si="86"/>
        <v>1090.2749999999999</v>
      </c>
      <c r="E238" s="43">
        <v>1063.5</v>
      </c>
      <c r="F238" s="43">
        <v>1007</v>
      </c>
      <c r="G238" s="43">
        <f t="shared" si="87"/>
        <v>3048.4089000000004</v>
      </c>
      <c r="H238" s="44">
        <f t="shared" si="88"/>
        <v>1.1410029577463874E-2</v>
      </c>
      <c r="I238" s="43">
        <v>1759.2</v>
      </c>
      <c r="J238" s="43"/>
      <c r="K238" s="43"/>
      <c r="L238" s="43">
        <f t="shared" si="89"/>
        <v>1759.2</v>
      </c>
      <c r="M238" s="43">
        <v>1759.2</v>
      </c>
      <c r="N238" s="43">
        <f t="shared" si="90"/>
        <v>0</v>
      </c>
      <c r="O238" s="43">
        <f t="shared" si="84"/>
        <v>100</v>
      </c>
      <c r="P238" s="43">
        <v>3497.2</v>
      </c>
      <c r="Q238" s="44">
        <f t="shared" si="91"/>
        <v>1.426867719231715E-2</v>
      </c>
      <c r="R238" s="43">
        <f>6201897*Q238/100+300</f>
        <v>1184.9286627300016</v>
      </c>
      <c r="S238" s="43"/>
      <c r="T238" s="43"/>
      <c r="U238" s="43"/>
      <c r="V238" s="43"/>
      <c r="W238" s="43"/>
      <c r="X238" s="43">
        <f t="shared" ref="X238:X245" si="93">SUM(R238:V238)</f>
        <v>1184.9286627300016</v>
      </c>
      <c r="Y238" s="43">
        <v>873.63099999999997</v>
      </c>
      <c r="Z238" s="43">
        <f t="shared" si="92"/>
        <v>873.63099999999997</v>
      </c>
      <c r="AA238" s="43"/>
      <c r="AB238" s="43"/>
      <c r="AC238" s="43"/>
      <c r="AD238" s="43">
        <f t="shared" si="85"/>
        <v>873.63099999999997</v>
      </c>
      <c r="AE238" s="43">
        <v>1649.2</v>
      </c>
      <c r="AF238" s="43"/>
      <c r="AG238" s="43"/>
      <c r="AH238" s="42">
        <f t="shared" si="79"/>
        <v>1649.2</v>
      </c>
      <c r="AI238" s="41">
        <v>1115.3</v>
      </c>
      <c r="AJ238" s="40">
        <v>1688.6</v>
      </c>
      <c r="AK238" s="49">
        <f>2488-1500</f>
        <v>988</v>
      </c>
      <c r="AL238" s="39">
        <f t="shared" si="80"/>
        <v>988</v>
      </c>
      <c r="AM238" s="49">
        <v>284.5</v>
      </c>
      <c r="AN238" s="49">
        <f t="shared" si="81"/>
        <v>1272.5</v>
      </c>
      <c r="AO238" s="114">
        <f>578.8/3</f>
        <v>192.93333333333331</v>
      </c>
    </row>
    <row r="239" spans="1:41" s="18" customFormat="1" ht="30.6" x14ac:dyDescent="0.25">
      <c r="A239" s="46">
        <v>60110</v>
      </c>
      <c r="B239" s="45" t="s">
        <v>67</v>
      </c>
      <c r="C239" s="43">
        <v>17113.900000000001</v>
      </c>
      <c r="D239" s="43">
        <f t="shared" si="86"/>
        <v>1426.1583333333335</v>
      </c>
      <c r="E239" s="43">
        <v>1387.1</v>
      </c>
      <c r="F239" s="43">
        <v>1341</v>
      </c>
      <c r="G239" s="43">
        <f t="shared" si="87"/>
        <v>3987.5387000000005</v>
      </c>
      <c r="H239" s="44">
        <f t="shared" si="88"/>
        <v>1.5033905670262833E-2</v>
      </c>
      <c r="I239" s="43">
        <v>1034.7</v>
      </c>
      <c r="J239" s="43"/>
      <c r="K239" s="43"/>
      <c r="L239" s="43">
        <f t="shared" si="89"/>
        <v>1034.7</v>
      </c>
      <c r="M239" s="43">
        <v>1034.7</v>
      </c>
      <c r="N239" s="43">
        <f t="shared" si="90"/>
        <v>0</v>
      </c>
      <c r="O239" s="43">
        <f t="shared" si="84"/>
        <v>100</v>
      </c>
      <c r="P239" s="43">
        <v>4423.8999999999996</v>
      </c>
      <c r="Q239" s="44">
        <f t="shared" si="91"/>
        <v>1.8049640006602953E-2</v>
      </c>
      <c r="R239" s="43">
        <f>6201897*Q239/100</f>
        <v>1119.4200820803082</v>
      </c>
      <c r="S239" s="43"/>
      <c r="T239" s="43"/>
      <c r="U239" s="43"/>
      <c r="V239" s="43"/>
      <c r="W239" s="43"/>
      <c r="X239" s="43">
        <f t="shared" si="93"/>
        <v>1119.4200820803082</v>
      </c>
      <c r="Y239" s="43">
        <v>1052.133</v>
      </c>
      <c r="Z239" s="43">
        <f t="shared" si="92"/>
        <v>1052.133</v>
      </c>
      <c r="AA239" s="43"/>
      <c r="AB239" s="43"/>
      <c r="AC239" s="43"/>
      <c r="AD239" s="43">
        <f t="shared" si="85"/>
        <v>1052.133</v>
      </c>
      <c r="AE239" s="43">
        <v>1824.2</v>
      </c>
      <c r="AF239" s="43"/>
      <c r="AG239" s="43"/>
      <c r="AH239" s="42">
        <f t="shared" si="79"/>
        <v>1824.2</v>
      </c>
      <c r="AI239" s="41">
        <v>1454.4</v>
      </c>
      <c r="AJ239" s="40">
        <v>1663.7</v>
      </c>
      <c r="AK239" s="49">
        <f>1628.7-300</f>
        <v>1328.7</v>
      </c>
      <c r="AL239" s="39">
        <f t="shared" si="80"/>
        <v>1328.7</v>
      </c>
      <c r="AM239" s="49"/>
      <c r="AN239" s="49">
        <f t="shared" si="81"/>
        <v>1328.7</v>
      </c>
      <c r="AO239" s="49">
        <f>3869.7/3</f>
        <v>1289.8999999999999</v>
      </c>
    </row>
    <row r="240" spans="1:41" s="18" customFormat="1" ht="30.6" x14ac:dyDescent="0.25">
      <c r="A240" s="46">
        <v>60120</v>
      </c>
      <c r="B240" s="45" t="s">
        <v>66</v>
      </c>
      <c r="C240" s="43">
        <v>16128.1</v>
      </c>
      <c r="D240" s="43">
        <f t="shared" si="86"/>
        <v>1344.0083333333334</v>
      </c>
      <c r="E240" s="43">
        <v>876.9</v>
      </c>
      <c r="F240" s="43">
        <v>628</v>
      </c>
      <c r="G240" s="43">
        <f t="shared" si="87"/>
        <v>3757.8473000000004</v>
      </c>
      <c r="H240" s="44">
        <f t="shared" si="88"/>
        <v>8.2931434489859381E-3</v>
      </c>
      <c r="I240" s="43">
        <v>1462.3</v>
      </c>
      <c r="J240" s="43"/>
      <c r="K240" s="43"/>
      <c r="L240" s="43">
        <f t="shared" si="89"/>
        <v>1462.3</v>
      </c>
      <c r="M240" s="43">
        <v>1462.3</v>
      </c>
      <c r="N240" s="43">
        <f t="shared" si="90"/>
        <v>0</v>
      </c>
      <c r="O240" s="43">
        <f t="shared" si="84"/>
        <v>100</v>
      </c>
      <c r="P240" s="43">
        <v>4453.2</v>
      </c>
      <c r="Q240" s="44">
        <f t="shared" si="91"/>
        <v>1.8169184854405451E-2</v>
      </c>
      <c r="R240" s="43">
        <f>6201897*Q240/100</f>
        <v>1126.834130409826</v>
      </c>
      <c r="S240" s="43"/>
      <c r="T240" s="43"/>
      <c r="U240" s="43"/>
      <c r="V240" s="43"/>
      <c r="W240" s="43"/>
      <c r="X240" s="43">
        <f t="shared" si="93"/>
        <v>1126.834130409826</v>
      </c>
      <c r="Y240" s="43">
        <v>695.83400000000006</v>
      </c>
      <c r="Z240" s="43">
        <f t="shared" si="92"/>
        <v>695.83400000000006</v>
      </c>
      <c r="AA240" s="43"/>
      <c r="AB240" s="43"/>
      <c r="AC240" s="43"/>
      <c r="AD240" s="43">
        <f t="shared" si="85"/>
        <v>695.83400000000006</v>
      </c>
      <c r="AE240" s="43">
        <v>803.9</v>
      </c>
      <c r="AF240" s="43"/>
      <c r="AG240" s="43"/>
      <c r="AH240" s="42">
        <f t="shared" si="79"/>
        <v>803.9</v>
      </c>
      <c r="AI240" s="41">
        <v>803.9</v>
      </c>
      <c r="AJ240" s="40">
        <v>841.8</v>
      </c>
      <c r="AK240" s="49">
        <f>4671.7-3000-800</f>
        <v>871.69999999999982</v>
      </c>
      <c r="AL240" s="39">
        <f t="shared" si="80"/>
        <v>871.69999999999982</v>
      </c>
      <c r="AM240" s="49"/>
      <c r="AN240" s="49">
        <f t="shared" si="81"/>
        <v>871.69999999999982</v>
      </c>
      <c r="AO240" s="49">
        <f>2352.4/3</f>
        <v>784.13333333333333</v>
      </c>
    </row>
    <row r="241" spans="1:41" s="18" customFormat="1" ht="30.6" x14ac:dyDescent="0.25">
      <c r="A241" s="48">
        <v>60911</v>
      </c>
      <c r="B241" s="45" t="s">
        <v>65</v>
      </c>
      <c r="C241" s="43">
        <v>8000</v>
      </c>
      <c r="D241" s="43">
        <f t="shared" si="86"/>
        <v>666.66666666666663</v>
      </c>
      <c r="E241" s="43"/>
      <c r="F241" s="43"/>
      <c r="G241" s="43">
        <f t="shared" si="87"/>
        <v>1864</v>
      </c>
      <c r="H241" s="44">
        <f t="shared" si="88"/>
        <v>0</v>
      </c>
      <c r="I241" s="43">
        <v>8000</v>
      </c>
      <c r="J241" s="43"/>
      <c r="K241" s="43"/>
      <c r="L241" s="43">
        <f t="shared" si="89"/>
        <v>8000</v>
      </c>
      <c r="M241" s="43">
        <v>8000</v>
      </c>
      <c r="N241" s="43">
        <f t="shared" si="90"/>
        <v>0</v>
      </c>
      <c r="O241" s="43">
        <f t="shared" si="84"/>
        <v>100</v>
      </c>
      <c r="P241" s="43">
        <v>0</v>
      </c>
      <c r="Q241" s="44">
        <f t="shared" si="91"/>
        <v>0</v>
      </c>
      <c r="R241" s="43">
        <f>6201897*Q241/100</f>
        <v>0</v>
      </c>
      <c r="S241" s="43"/>
      <c r="T241" s="43"/>
      <c r="U241" s="43"/>
      <c r="V241" s="43"/>
      <c r="W241" s="43"/>
      <c r="X241" s="43">
        <f t="shared" si="93"/>
        <v>0</v>
      </c>
      <c r="Y241" s="43"/>
      <c r="Z241" s="43">
        <f t="shared" si="92"/>
        <v>0</v>
      </c>
      <c r="AA241" s="43"/>
      <c r="AB241" s="43"/>
      <c r="AC241" s="43"/>
      <c r="AD241" s="43">
        <f t="shared" si="85"/>
        <v>0</v>
      </c>
      <c r="AE241" s="43"/>
      <c r="AF241" s="43"/>
      <c r="AG241" s="43"/>
      <c r="AH241" s="42">
        <f t="shared" si="79"/>
        <v>0</v>
      </c>
      <c r="AI241" s="41"/>
      <c r="AJ241" s="40">
        <v>0</v>
      </c>
      <c r="AK241" s="49"/>
      <c r="AL241" s="39">
        <f t="shared" si="80"/>
        <v>0</v>
      </c>
      <c r="AM241" s="49"/>
      <c r="AN241" s="49">
        <f t="shared" si="81"/>
        <v>0</v>
      </c>
      <c r="AO241" s="49"/>
    </row>
    <row r="242" spans="1:41" s="18" customFormat="1" ht="36.75" customHeight="1" x14ac:dyDescent="0.25">
      <c r="A242" s="46">
        <v>61110</v>
      </c>
      <c r="B242" s="45" t="s">
        <v>64</v>
      </c>
      <c r="C242" s="43">
        <v>77514.2</v>
      </c>
      <c r="D242" s="43">
        <f t="shared" si="86"/>
        <v>6459.5166666666664</v>
      </c>
      <c r="E242" s="43">
        <v>5204.1000000000004</v>
      </c>
      <c r="F242" s="43">
        <v>5267.2</v>
      </c>
      <c r="G242" s="43">
        <f t="shared" si="87"/>
        <v>18060.8086</v>
      </c>
      <c r="H242" s="44">
        <f t="shared" si="88"/>
        <v>5.7704826232551298E-2</v>
      </c>
      <c r="I242" s="43">
        <v>7092.5</v>
      </c>
      <c r="J242" s="43"/>
      <c r="K242" s="43"/>
      <c r="L242" s="43">
        <f t="shared" si="89"/>
        <v>7092.5</v>
      </c>
      <c r="M242" s="43">
        <v>7092.5</v>
      </c>
      <c r="N242" s="43">
        <f t="shared" si="90"/>
        <v>0</v>
      </c>
      <c r="O242" s="43">
        <f t="shared" si="84"/>
        <v>100</v>
      </c>
      <c r="P242" s="43">
        <v>20301.100000000002</v>
      </c>
      <c r="Q242" s="44">
        <f t="shared" si="91"/>
        <v>8.2829075417176531E-2</v>
      </c>
      <c r="R242" s="43">
        <f>6201897*Q242/100+100</f>
        <v>5236.9739434256089</v>
      </c>
      <c r="S242" s="43"/>
      <c r="T242" s="43"/>
      <c r="U242" s="43"/>
      <c r="V242" s="43"/>
      <c r="W242" s="43"/>
      <c r="X242" s="43">
        <f t="shared" si="93"/>
        <v>5236.9739434256089</v>
      </c>
      <c r="Y242" s="43">
        <v>4825.3670000000011</v>
      </c>
      <c r="Z242" s="43">
        <f t="shared" si="92"/>
        <v>4825.3670000000011</v>
      </c>
      <c r="AA242" s="43"/>
      <c r="AB242" s="43"/>
      <c r="AC242" s="43"/>
      <c r="AD242" s="43">
        <f t="shared" si="85"/>
        <v>4825.3670000000011</v>
      </c>
      <c r="AE242" s="43">
        <v>6537.8</v>
      </c>
      <c r="AF242" s="43"/>
      <c r="AG242" s="43"/>
      <c r="AH242" s="42">
        <f t="shared" si="79"/>
        <v>6537.8</v>
      </c>
      <c r="AI242" s="41">
        <v>5695.8</v>
      </c>
      <c r="AJ242" s="40">
        <v>7738</v>
      </c>
      <c r="AK242" s="49">
        <f>10243.8-3000-2000</f>
        <v>5243.7999999999993</v>
      </c>
      <c r="AL242" s="39">
        <f t="shared" si="80"/>
        <v>5243.7999999999993</v>
      </c>
      <c r="AM242" s="49"/>
      <c r="AN242" s="49">
        <f t="shared" si="81"/>
        <v>5243.7999999999993</v>
      </c>
      <c r="AO242" s="49">
        <f>14535.2/3</f>
        <v>4845.0666666666666</v>
      </c>
    </row>
    <row r="243" spans="1:41" s="18" customFormat="1" ht="30.6" x14ac:dyDescent="0.25">
      <c r="A243" s="46">
        <v>61120</v>
      </c>
      <c r="B243" s="45" t="s">
        <v>63</v>
      </c>
      <c r="C243" s="43">
        <v>66304.600000000006</v>
      </c>
      <c r="D243" s="43">
        <f t="shared" si="86"/>
        <v>5525.3833333333341</v>
      </c>
      <c r="E243" s="43">
        <v>5091.1000000000004</v>
      </c>
      <c r="F243" s="43">
        <v>4961.3999999999996</v>
      </c>
      <c r="G243" s="43">
        <f t="shared" si="87"/>
        <v>15448.971800000001</v>
      </c>
      <c r="H243" s="44">
        <f t="shared" si="88"/>
        <v>5.5396919742794301E-2</v>
      </c>
      <c r="I243" s="43">
        <v>4977.1000000000004</v>
      </c>
      <c r="J243" s="43"/>
      <c r="K243" s="43"/>
      <c r="L243" s="43">
        <f t="shared" si="89"/>
        <v>4977.1000000000004</v>
      </c>
      <c r="M243" s="43">
        <v>4977.1000000000004</v>
      </c>
      <c r="N243" s="43">
        <f t="shared" si="90"/>
        <v>0</v>
      </c>
      <c r="O243" s="43">
        <f t="shared" si="84"/>
        <v>100</v>
      </c>
      <c r="P243" s="43">
        <v>17737.599999999999</v>
      </c>
      <c r="Q243" s="44">
        <f t="shared" si="91"/>
        <v>7.2369921241691837E-2</v>
      </c>
      <c r="R243" s="43">
        <f>6201897*Q243/100+500</f>
        <v>4988.3079743908484</v>
      </c>
      <c r="S243" s="43"/>
      <c r="T243" s="43"/>
      <c r="U243" s="43"/>
      <c r="V243" s="43"/>
      <c r="W243" s="43"/>
      <c r="X243" s="43">
        <f t="shared" si="93"/>
        <v>4988.3079743908484</v>
      </c>
      <c r="Y243" s="43">
        <v>4690.9679999999998</v>
      </c>
      <c r="Z243" s="43">
        <f t="shared" si="92"/>
        <v>4690.9679999999998</v>
      </c>
      <c r="AA243" s="43"/>
      <c r="AB243" s="43"/>
      <c r="AC243" s="43"/>
      <c r="AD243" s="43">
        <f t="shared" si="85"/>
        <v>4690.9679999999998</v>
      </c>
      <c r="AE243" s="43">
        <v>4598.5</v>
      </c>
      <c r="AF243" s="43"/>
      <c r="AG243" s="43"/>
      <c r="AH243" s="42">
        <f t="shared" si="79"/>
        <v>4598.5</v>
      </c>
      <c r="AI243" s="41">
        <v>5156.6000000000004</v>
      </c>
      <c r="AJ243" s="40">
        <v>6300</v>
      </c>
      <c r="AK243" s="49">
        <f>9999.7-3000-2000</f>
        <v>4999.7000000000007</v>
      </c>
      <c r="AL243" s="39">
        <f t="shared" si="80"/>
        <v>4999.7000000000007</v>
      </c>
      <c r="AM243" s="49"/>
      <c r="AN243" s="49">
        <f t="shared" si="81"/>
        <v>4999.7000000000007</v>
      </c>
      <c r="AO243" s="49">
        <f>14309.9/3</f>
        <v>4769.9666666666662</v>
      </c>
    </row>
    <row r="244" spans="1:41" s="18" customFormat="1" ht="24.75" customHeight="1" x14ac:dyDescent="0.25">
      <c r="A244" s="46">
        <v>62110</v>
      </c>
      <c r="B244" s="45" t="s">
        <v>62</v>
      </c>
      <c r="C244" s="43">
        <v>43293.1</v>
      </c>
      <c r="D244" s="43">
        <f t="shared" si="86"/>
        <v>3607.7583333333332</v>
      </c>
      <c r="E244" s="43">
        <v>2445</v>
      </c>
      <c r="F244" s="43">
        <v>3010.5</v>
      </c>
      <c r="G244" s="43">
        <f t="shared" si="87"/>
        <v>10087.292299999999</v>
      </c>
      <c r="H244" s="44">
        <f t="shared" si="88"/>
        <v>3.0063953808188441E-2</v>
      </c>
      <c r="I244" s="43">
        <v>4778.8</v>
      </c>
      <c r="J244" s="43"/>
      <c r="K244" s="43"/>
      <c r="L244" s="43">
        <f t="shared" si="89"/>
        <v>4778.8</v>
      </c>
      <c r="M244" s="43">
        <v>3066.3</v>
      </c>
      <c r="N244" s="43">
        <f t="shared" si="90"/>
        <v>-1712.5</v>
      </c>
      <c r="O244" s="43">
        <f t="shared" si="84"/>
        <v>64.16464384364275</v>
      </c>
      <c r="P244" s="43">
        <v>11569.3</v>
      </c>
      <c r="Q244" s="44">
        <f t="shared" si="91"/>
        <v>4.7203078760458317E-2</v>
      </c>
      <c r="R244" s="43">
        <f>6201897*Q244/100</f>
        <v>2927.4863255525015</v>
      </c>
      <c r="S244" s="43"/>
      <c r="T244" s="43"/>
      <c r="U244" s="43">
        <v>2573</v>
      </c>
      <c r="V244" s="43"/>
      <c r="W244" s="43"/>
      <c r="X244" s="43">
        <f t="shared" si="93"/>
        <v>5500.4863255525015</v>
      </c>
      <c r="Y244" s="43">
        <v>2618.0009999999997</v>
      </c>
      <c r="Z244" s="43">
        <f t="shared" si="92"/>
        <v>2618.0009999999997</v>
      </c>
      <c r="AA244" s="43"/>
      <c r="AB244" s="43"/>
      <c r="AC244" s="43"/>
      <c r="AD244" s="43">
        <f t="shared" si="85"/>
        <v>2618.0009999999997</v>
      </c>
      <c r="AE244" s="43">
        <v>4647</v>
      </c>
      <c r="AF244" s="43"/>
      <c r="AG244" s="43"/>
      <c r="AH244" s="42">
        <f t="shared" si="79"/>
        <v>4647</v>
      </c>
      <c r="AI244" s="41">
        <v>3601.6</v>
      </c>
      <c r="AJ244" s="40">
        <v>3439</v>
      </c>
      <c r="AK244" s="49">
        <v>2600</v>
      </c>
      <c r="AL244" s="39">
        <f t="shared" si="80"/>
        <v>2600</v>
      </c>
      <c r="AM244" s="49"/>
      <c r="AN244" s="49">
        <f t="shared" si="81"/>
        <v>2600</v>
      </c>
      <c r="AO244" s="49">
        <f>8073.3/3</f>
        <v>2691.1</v>
      </c>
    </row>
    <row r="245" spans="1:41" s="18" customFormat="1" ht="38.25" customHeight="1" x14ac:dyDescent="0.25">
      <c r="A245" s="46">
        <v>62120</v>
      </c>
      <c r="B245" s="45" t="s">
        <v>61</v>
      </c>
      <c r="C245" s="43">
        <v>445527</v>
      </c>
      <c r="D245" s="43">
        <f t="shared" si="86"/>
        <v>37127.25</v>
      </c>
      <c r="E245" s="43">
        <v>21731.3</v>
      </c>
      <c r="F245" s="43">
        <v>39689.1</v>
      </c>
      <c r="G245" s="43">
        <f t="shared" si="87"/>
        <v>103807.791</v>
      </c>
      <c r="H245" s="44">
        <f t="shared" si="88"/>
        <v>0.33847311309329248</v>
      </c>
      <c r="I245" s="43">
        <f>7990664.7*H245/100</f>
        <v>27046.2515669368</v>
      </c>
      <c r="J245" s="43"/>
      <c r="K245" s="43"/>
      <c r="L245" s="43">
        <f t="shared" si="89"/>
        <v>27046.2515669368</v>
      </c>
      <c r="M245" s="43">
        <v>25588.421999999999</v>
      </c>
      <c r="N245" s="43">
        <f t="shared" si="90"/>
        <v>-1457.8295669368017</v>
      </c>
      <c r="O245" s="43">
        <f t="shared" si="84"/>
        <v>94.609864648604571</v>
      </c>
      <c r="P245" s="43">
        <v>133759.59999999998</v>
      </c>
      <c r="Q245" s="44">
        <f t="shared" si="91"/>
        <v>0.54574303836596849</v>
      </c>
      <c r="R245" s="43">
        <f>6201897*Q245/100-4000</f>
        <v>29846.421124127846</v>
      </c>
      <c r="S245" s="43"/>
      <c r="T245" s="43">
        <v>12300</v>
      </c>
      <c r="U245" s="43">
        <v>-2573</v>
      </c>
      <c r="V245" s="43"/>
      <c r="W245" s="43"/>
      <c r="X245" s="43">
        <f t="shared" si="93"/>
        <v>39573.421124127846</v>
      </c>
      <c r="Y245" s="43">
        <v>71203.434000000008</v>
      </c>
      <c r="Z245" s="43">
        <f t="shared" si="92"/>
        <v>71203.434000000008</v>
      </c>
      <c r="AA245" s="43"/>
      <c r="AB245" s="43"/>
      <c r="AC245" s="43"/>
      <c r="AD245" s="43">
        <f t="shared" si="85"/>
        <v>71203.434000000008</v>
      </c>
      <c r="AE245" s="43">
        <v>34871.4</v>
      </c>
      <c r="AF245" s="43"/>
      <c r="AG245" s="43"/>
      <c r="AH245" s="42">
        <f t="shared" si="79"/>
        <v>34871.4</v>
      </c>
      <c r="AI245" s="41">
        <f>41818.7+3650</f>
        <v>45468.7</v>
      </c>
      <c r="AJ245" s="40">
        <v>65768.7</v>
      </c>
      <c r="AK245" s="49">
        <f>48000-26000</f>
        <v>22000</v>
      </c>
      <c r="AL245" s="39">
        <f t="shared" si="80"/>
        <v>22000</v>
      </c>
      <c r="AM245" s="49"/>
      <c r="AN245" s="49">
        <f t="shared" si="81"/>
        <v>22000</v>
      </c>
      <c r="AO245" s="49">
        <f>99639/3</f>
        <v>33213</v>
      </c>
    </row>
    <row r="246" spans="1:41" s="18" customFormat="1" ht="20.399999999999999" x14ac:dyDescent="0.25">
      <c r="A246" s="46">
        <v>63110</v>
      </c>
      <c r="B246" s="45" t="s">
        <v>60</v>
      </c>
      <c r="C246" s="43"/>
      <c r="D246" s="43"/>
      <c r="E246" s="43"/>
      <c r="F246" s="43"/>
      <c r="G246" s="43"/>
      <c r="H246" s="44"/>
      <c r="I246" s="43"/>
      <c r="J246" s="43"/>
      <c r="K246" s="43"/>
      <c r="L246" s="43"/>
      <c r="M246" s="43"/>
      <c r="N246" s="43"/>
      <c r="O246" s="43"/>
      <c r="P246" s="43"/>
      <c r="Q246" s="44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2"/>
      <c r="AI246" s="41"/>
      <c r="AJ246" s="40">
        <v>4032.1</v>
      </c>
      <c r="AK246" s="49">
        <v>1921.6120000000001</v>
      </c>
      <c r="AL246" s="39">
        <f t="shared" si="80"/>
        <v>1921.6120000000001</v>
      </c>
      <c r="AM246" s="49"/>
      <c r="AN246" s="49">
        <f t="shared" si="81"/>
        <v>1921.6120000000001</v>
      </c>
      <c r="AO246" s="49">
        <f>1137.1/3</f>
        <v>379.0333333333333</v>
      </c>
    </row>
    <row r="247" spans="1:41" s="18" customFormat="1" ht="14.25" customHeight="1" x14ac:dyDescent="0.25">
      <c r="A247" s="46">
        <v>64110</v>
      </c>
      <c r="B247" s="45" t="s">
        <v>59</v>
      </c>
      <c r="C247" s="43">
        <v>19061.400000000001</v>
      </c>
      <c r="D247" s="43">
        <f t="shared" ref="D247:D279" si="94">C247/12</f>
        <v>1588.45</v>
      </c>
      <c r="E247" s="43">
        <v>1549.3</v>
      </c>
      <c r="F247" s="43">
        <v>1531.3</v>
      </c>
      <c r="G247" s="43">
        <f t="shared" ref="G247:G279" si="95">C247*23.3/100</f>
        <v>4441.3062000000009</v>
      </c>
      <c r="H247" s="44">
        <f t="shared" ref="H247:H279" si="96">(E247+F247)/(8725103.2+9421212.6)*100</f>
        <v>1.6976448740079794E-2</v>
      </c>
      <c r="I247" s="43">
        <f>7990664.7*H247/100+200</f>
        <v>1556.531096787151</v>
      </c>
      <c r="J247" s="43"/>
      <c r="K247" s="43"/>
      <c r="L247" s="43">
        <f t="shared" ref="L247:L252" si="97">SUM(I247:K247)</f>
        <v>1556.531096787151</v>
      </c>
      <c r="M247" s="43">
        <v>1556.5</v>
      </c>
      <c r="N247" s="43">
        <f t="shared" ref="N247:N281" si="98">M247-L247</f>
        <v>-3.1096787151000171E-2</v>
      </c>
      <c r="O247" s="43">
        <f t="shared" ref="O247:O266" si="99">M247/L247*100</f>
        <v>99.998002173730086</v>
      </c>
      <c r="P247" s="43">
        <v>4854.6000000000004</v>
      </c>
      <c r="Q247" s="44">
        <f t="shared" ref="Q247:Q280" si="100">P247/24509630.1*100</f>
        <v>1.9806908469010308E-2</v>
      </c>
      <c r="R247" s="43">
        <f>6201897*Q247/100+300</f>
        <v>1528.4040621322963</v>
      </c>
      <c r="S247" s="43"/>
      <c r="T247" s="43"/>
      <c r="U247" s="43"/>
      <c r="V247" s="43"/>
      <c r="W247" s="43"/>
      <c r="X247" s="43">
        <f t="shared" ref="X247:X281" si="101">SUM(R247:V247)</f>
        <v>1528.4040621322963</v>
      </c>
      <c r="Y247" s="43">
        <v>1507.6329999999998</v>
      </c>
      <c r="Z247" s="43">
        <f>Y247</f>
        <v>1507.6329999999998</v>
      </c>
      <c r="AA247" s="43"/>
      <c r="AB247" s="43"/>
      <c r="AC247" s="43"/>
      <c r="AD247" s="43">
        <f t="shared" ref="AD247:AD281" si="102">SUM(Z247:AC247)</f>
        <v>1507.6329999999998</v>
      </c>
      <c r="AE247" s="43">
        <v>1900.5</v>
      </c>
      <c r="AF247" s="43"/>
      <c r="AG247" s="43"/>
      <c r="AH247" s="42">
        <f t="shared" ref="AH247:AH281" si="103">AE247+AF247+AG247</f>
        <v>1900.5</v>
      </c>
      <c r="AI247" s="41">
        <v>1500</v>
      </c>
      <c r="AJ247" s="40">
        <v>1523.1</v>
      </c>
      <c r="AK247" s="49">
        <v>1612.5</v>
      </c>
      <c r="AL247" s="39">
        <f t="shared" si="80"/>
        <v>1612.5</v>
      </c>
      <c r="AM247" s="49"/>
      <c r="AN247" s="49">
        <f t="shared" si="81"/>
        <v>1612.5</v>
      </c>
      <c r="AO247" s="49">
        <f>4658.1/3</f>
        <v>1552.7</v>
      </c>
    </row>
    <row r="248" spans="1:41" s="18" customFormat="1" ht="20.399999999999999" x14ac:dyDescent="0.25">
      <c r="A248" s="46">
        <v>64220</v>
      </c>
      <c r="B248" s="45" t="s">
        <v>58</v>
      </c>
      <c r="C248" s="43">
        <v>3975.3</v>
      </c>
      <c r="D248" s="43">
        <f t="shared" si="94"/>
        <v>331.27500000000003</v>
      </c>
      <c r="E248" s="43">
        <v>318.10000000000002</v>
      </c>
      <c r="F248" s="43">
        <v>317.2</v>
      </c>
      <c r="G248" s="43">
        <f t="shared" si="95"/>
        <v>926.24490000000003</v>
      </c>
      <c r="H248" s="44">
        <f t="shared" si="96"/>
        <v>3.500986134055928E-3</v>
      </c>
      <c r="I248" s="43">
        <f>7990664.7*H248/100+50</f>
        <v>329.75206316590169</v>
      </c>
      <c r="J248" s="43"/>
      <c r="K248" s="43"/>
      <c r="L248" s="43">
        <f t="shared" si="97"/>
        <v>329.75206316590169</v>
      </c>
      <c r="M248" s="43">
        <v>283.8</v>
      </c>
      <c r="N248" s="43">
        <f t="shared" si="98"/>
        <v>-45.952063165901677</v>
      </c>
      <c r="O248" s="43">
        <f t="shared" si="99"/>
        <v>86.064662424027745</v>
      </c>
      <c r="P248" s="43">
        <v>1039.0999999999999</v>
      </c>
      <c r="Q248" s="44">
        <f t="shared" si="100"/>
        <v>4.239558066606643E-3</v>
      </c>
      <c r="R248" s="43">
        <f>6201897*Q248/100</f>
        <v>262.93302454613536</v>
      </c>
      <c r="S248" s="43"/>
      <c r="T248" s="43"/>
      <c r="U248" s="43"/>
      <c r="V248" s="43"/>
      <c r="W248" s="43"/>
      <c r="X248" s="43">
        <f t="shared" si="101"/>
        <v>262.93302454613536</v>
      </c>
      <c r="Y248" s="43">
        <v>290.53399999999999</v>
      </c>
      <c r="Z248" s="43">
        <f>Y248</f>
        <v>290.53399999999999</v>
      </c>
      <c r="AA248" s="43"/>
      <c r="AB248" s="43"/>
      <c r="AC248" s="43"/>
      <c r="AD248" s="43">
        <f t="shared" si="102"/>
        <v>290.53399999999999</v>
      </c>
      <c r="AE248" s="43">
        <v>427.2</v>
      </c>
      <c r="AF248" s="43"/>
      <c r="AG248" s="43"/>
      <c r="AH248" s="42">
        <f t="shared" si="103"/>
        <v>427.2</v>
      </c>
      <c r="AI248" s="41"/>
      <c r="AJ248" s="40">
        <v>318</v>
      </c>
      <c r="AK248" s="49">
        <f>734.3-400</f>
        <v>334.29999999999995</v>
      </c>
      <c r="AL248" s="39">
        <f t="shared" si="80"/>
        <v>334.29999999999995</v>
      </c>
      <c r="AM248" s="49"/>
      <c r="AN248" s="49">
        <f t="shared" si="81"/>
        <v>334.29999999999995</v>
      </c>
      <c r="AO248" s="49">
        <f>944.6/3</f>
        <v>314.86666666666667</v>
      </c>
    </row>
    <row r="249" spans="1:41" s="18" customFormat="1" ht="20.399999999999999" x14ac:dyDescent="0.25">
      <c r="A249" s="46">
        <v>65110</v>
      </c>
      <c r="B249" s="45" t="s">
        <v>57</v>
      </c>
      <c r="C249" s="43">
        <v>141087.29999999999</v>
      </c>
      <c r="D249" s="43">
        <f t="shared" si="94"/>
        <v>11757.275</v>
      </c>
      <c r="E249" s="43">
        <v>8016.2</v>
      </c>
      <c r="F249" s="43">
        <v>11240.5</v>
      </c>
      <c r="G249" s="43">
        <f t="shared" si="95"/>
        <v>32873.340899999996</v>
      </c>
      <c r="H249" s="44">
        <f t="shared" si="96"/>
        <v>0.10611906136891987</v>
      </c>
      <c r="I249" s="43">
        <v>11263.5</v>
      </c>
      <c r="J249" s="43"/>
      <c r="K249" s="43"/>
      <c r="L249" s="43">
        <f t="shared" si="97"/>
        <v>11263.5</v>
      </c>
      <c r="M249" s="43">
        <v>10116.5</v>
      </c>
      <c r="N249" s="43">
        <f t="shared" si="98"/>
        <v>-1147</v>
      </c>
      <c r="O249" s="43">
        <f t="shared" si="99"/>
        <v>89.816664447107925</v>
      </c>
      <c r="P249" s="43">
        <v>37794.100000000006</v>
      </c>
      <c r="Q249" s="44">
        <f t="shared" si="100"/>
        <v>0.15420102158130899</v>
      </c>
      <c r="R249" s="43">
        <f>6201897*Q249/100</f>
        <v>9563.3885314205563</v>
      </c>
      <c r="S249" s="43">
        <v>4646.7</v>
      </c>
      <c r="T249" s="43"/>
      <c r="U249" s="43"/>
      <c r="V249" s="43"/>
      <c r="W249" s="43"/>
      <c r="X249" s="43">
        <f t="shared" si="101"/>
        <v>14210.088531420555</v>
      </c>
      <c r="Y249" s="43">
        <v>9141.7999999999993</v>
      </c>
      <c r="Z249" s="43">
        <f>Y249</f>
        <v>9141.7999999999993</v>
      </c>
      <c r="AA249" s="43"/>
      <c r="AB249" s="43"/>
      <c r="AC249" s="43"/>
      <c r="AD249" s="43">
        <f t="shared" si="102"/>
        <v>9141.7999999999993</v>
      </c>
      <c r="AE249" s="43">
        <v>7632.2</v>
      </c>
      <c r="AF249" s="43">
        <v>1519</v>
      </c>
      <c r="AG249" s="43"/>
      <c r="AH249" s="42">
        <f t="shared" si="103"/>
        <v>9151.2000000000007</v>
      </c>
      <c r="AI249" s="41">
        <f>9151.2+2730.5</f>
        <v>11881.7</v>
      </c>
      <c r="AJ249" s="40">
        <v>17556.400000000001</v>
      </c>
      <c r="AK249" s="49">
        <f>12644.9-2000</f>
        <v>10644.9</v>
      </c>
      <c r="AL249" s="39">
        <f t="shared" si="80"/>
        <v>10644.9</v>
      </c>
      <c r="AM249" s="49">
        <v>1050.0999999999999</v>
      </c>
      <c r="AN249" s="49">
        <f t="shared" si="81"/>
        <v>11695</v>
      </c>
      <c r="AO249" s="49">
        <f>27547.4/3</f>
        <v>9182.4666666666672</v>
      </c>
    </row>
    <row r="250" spans="1:41" s="18" customFormat="1" ht="13.2" x14ac:dyDescent="0.25">
      <c r="A250" s="46">
        <v>66110</v>
      </c>
      <c r="B250" s="45" t="s">
        <v>56</v>
      </c>
      <c r="C250" s="43">
        <v>11400</v>
      </c>
      <c r="D250" s="43">
        <f t="shared" si="94"/>
        <v>950</v>
      </c>
      <c r="E250" s="43">
        <v>916.6</v>
      </c>
      <c r="F250" s="43">
        <v>319</v>
      </c>
      <c r="G250" s="43">
        <f t="shared" si="95"/>
        <v>2656.2</v>
      </c>
      <c r="H250" s="44">
        <f t="shared" si="96"/>
        <v>6.809095651250598E-3</v>
      </c>
      <c r="I250" s="43">
        <v>1326.7</v>
      </c>
      <c r="J250" s="43"/>
      <c r="K250" s="43"/>
      <c r="L250" s="43">
        <f t="shared" si="97"/>
        <v>1326.7</v>
      </c>
      <c r="M250" s="43">
        <v>1326.7</v>
      </c>
      <c r="N250" s="43">
        <f t="shared" si="98"/>
        <v>0</v>
      </c>
      <c r="O250" s="43">
        <f t="shared" si="99"/>
        <v>100</v>
      </c>
      <c r="P250" s="43">
        <v>3030.2</v>
      </c>
      <c r="Q250" s="44">
        <f t="shared" si="100"/>
        <v>1.2363303679560631E-2</v>
      </c>
      <c r="R250" s="43">
        <f>6201897*Q250/100</f>
        <v>766.75936000356046</v>
      </c>
      <c r="S250" s="43"/>
      <c r="T250" s="43"/>
      <c r="U250" s="43"/>
      <c r="V250" s="43"/>
      <c r="W250" s="43"/>
      <c r="X250" s="43">
        <f t="shared" si="101"/>
        <v>766.75936000356046</v>
      </c>
      <c r="Y250" s="43">
        <v>0</v>
      </c>
      <c r="Z250" s="43">
        <f>D250</f>
        <v>950</v>
      </c>
      <c r="AA250" s="43"/>
      <c r="AB250" s="43"/>
      <c r="AC250" s="43"/>
      <c r="AD250" s="43">
        <f t="shared" si="102"/>
        <v>950</v>
      </c>
      <c r="AE250" s="43">
        <v>1626.3</v>
      </c>
      <c r="AF250" s="43"/>
      <c r="AG250" s="43"/>
      <c r="AH250" s="42">
        <f t="shared" si="103"/>
        <v>1626.3</v>
      </c>
      <c r="AI250" s="41">
        <v>950</v>
      </c>
      <c r="AJ250" s="40">
        <v>997.2</v>
      </c>
      <c r="AK250" s="49">
        <f>1842.5-1000</f>
        <v>842.5</v>
      </c>
      <c r="AL250" s="39">
        <f t="shared" si="80"/>
        <v>842.5</v>
      </c>
      <c r="AM250" s="49"/>
      <c r="AN250" s="49">
        <f t="shared" si="81"/>
        <v>842.5</v>
      </c>
      <c r="AO250" s="49">
        <f>2840.6/3</f>
        <v>946.86666666666667</v>
      </c>
    </row>
    <row r="251" spans="1:41" s="18" customFormat="1" ht="20.399999999999999" x14ac:dyDescent="0.25">
      <c r="A251" s="46">
        <v>67110</v>
      </c>
      <c r="B251" s="45" t="s">
        <v>55</v>
      </c>
      <c r="C251" s="43">
        <v>563817.6</v>
      </c>
      <c r="D251" s="43">
        <f t="shared" si="94"/>
        <v>46984.799999999996</v>
      </c>
      <c r="E251" s="43">
        <v>44572</v>
      </c>
      <c r="F251" s="43">
        <v>42757.9</v>
      </c>
      <c r="G251" s="43">
        <f t="shared" si="95"/>
        <v>131369.50080000001</v>
      </c>
      <c r="H251" s="44">
        <f t="shared" si="96"/>
        <v>0.48125416179520036</v>
      </c>
      <c r="I251" s="43">
        <v>36257.699999999997</v>
      </c>
      <c r="J251" s="43"/>
      <c r="K251" s="43"/>
      <c r="L251" s="43">
        <f t="shared" si="97"/>
        <v>36257.699999999997</v>
      </c>
      <c r="M251" s="43">
        <v>36257.699999999997</v>
      </c>
      <c r="N251" s="43">
        <f t="shared" si="98"/>
        <v>0</v>
      </c>
      <c r="O251" s="43">
        <f t="shared" si="99"/>
        <v>100</v>
      </c>
      <c r="P251" s="43">
        <v>171213.90000000002</v>
      </c>
      <c r="Q251" s="44">
        <f t="shared" si="100"/>
        <v>0.69855766611508352</v>
      </c>
      <c r="R251" s="43">
        <f>6201897*Q251/100</f>
        <v>43323.826938061378</v>
      </c>
      <c r="S251" s="43">
        <v>30000</v>
      </c>
      <c r="T251" s="43"/>
      <c r="U251" s="43">
        <v>3000</v>
      </c>
      <c r="V251" s="43"/>
      <c r="W251" s="43"/>
      <c r="X251" s="43">
        <f t="shared" si="101"/>
        <v>76323.826938061378</v>
      </c>
      <c r="Y251" s="43">
        <v>38722.1</v>
      </c>
      <c r="Z251" s="43">
        <f>Y251</f>
        <v>38722.1</v>
      </c>
      <c r="AA251" s="43">
        <v>35000</v>
      </c>
      <c r="AB251" s="43"/>
      <c r="AC251" s="43"/>
      <c r="AD251" s="43">
        <f t="shared" si="102"/>
        <v>73722.100000000006</v>
      </c>
      <c r="AE251" s="43">
        <v>40543.4</v>
      </c>
      <c r="AF251" s="43">
        <f>25000+7000+7000</f>
        <v>39000</v>
      </c>
      <c r="AG251" s="43"/>
      <c r="AH251" s="42">
        <f t="shared" si="103"/>
        <v>79543.399999999994</v>
      </c>
      <c r="AI251" s="41">
        <f>47794.7+38100+55000</f>
        <v>140894.70000000001</v>
      </c>
      <c r="AJ251" s="40">
        <v>57794.7</v>
      </c>
      <c r="AK251" s="49">
        <f>92590.9-25000-20000</f>
        <v>47590.899999999994</v>
      </c>
      <c r="AL251" s="39">
        <f t="shared" si="80"/>
        <v>47590.899999999994</v>
      </c>
      <c r="AM251" s="49"/>
      <c r="AN251" s="49">
        <f t="shared" si="81"/>
        <v>47590.899999999994</v>
      </c>
      <c r="AO251" s="49">
        <f>113202.8/3</f>
        <v>37734.26666666667</v>
      </c>
    </row>
    <row r="252" spans="1:41" s="18" customFormat="1" ht="20.399999999999999" x14ac:dyDescent="0.25">
      <c r="A252" s="46">
        <v>67120</v>
      </c>
      <c r="B252" s="45" t="s">
        <v>54</v>
      </c>
      <c r="C252" s="43">
        <f>268045.2+16114.7+9871.7</f>
        <v>294031.60000000003</v>
      </c>
      <c r="D252" s="43">
        <f t="shared" si="94"/>
        <v>24502.633333333335</v>
      </c>
      <c r="E252" s="43">
        <v>23119.3</v>
      </c>
      <c r="F252" s="43">
        <v>22638.799999999999</v>
      </c>
      <c r="G252" s="43">
        <f t="shared" si="95"/>
        <v>68509.362800000017</v>
      </c>
      <c r="H252" s="44">
        <f t="shared" si="96"/>
        <v>0.25216192919997571</v>
      </c>
      <c r="I252" s="43">
        <v>21914</v>
      </c>
      <c r="J252" s="43"/>
      <c r="K252" s="43"/>
      <c r="L252" s="43">
        <f t="shared" si="97"/>
        <v>21914</v>
      </c>
      <c r="M252" s="43">
        <v>21914</v>
      </c>
      <c r="N252" s="43">
        <f t="shared" si="98"/>
        <v>0</v>
      </c>
      <c r="O252" s="43">
        <f t="shared" si="99"/>
        <v>100</v>
      </c>
      <c r="P252" s="43">
        <v>78817.700000000012</v>
      </c>
      <c r="Q252" s="44">
        <f t="shared" si="100"/>
        <v>0.3215784966089717</v>
      </c>
      <c r="R252" s="43">
        <f>6201897*Q252/100+2000</f>
        <v>21943.967133836919</v>
      </c>
      <c r="S252" s="43"/>
      <c r="T252" s="43"/>
      <c r="U252" s="43">
        <v>2000</v>
      </c>
      <c r="V252" s="43"/>
      <c r="W252" s="43"/>
      <c r="X252" s="43">
        <f t="shared" si="101"/>
        <v>23943.967133836919</v>
      </c>
      <c r="Y252" s="43">
        <v>21887.432999999997</v>
      </c>
      <c r="Z252" s="43">
        <f>Y252</f>
        <v>21887.432999999997</v>
      </c>
      <c r="AA252" s="43">
        <v>4300</v>
      </c>
      <c r="AB252" s="43"/>
      <c r="AC252" s="43"/>
      <c r="AD252" s="43">
        <f t="shared" si="102"/>
        <v>26187.432999999997</v>
      </c>
      <c r="AE252" s="43">
        <v>28640.5</v>
      </c>
      <c r="AF252" s="43"/>
      <c r="AG252" s="43"/>
      <c r="AH252" s="42">
        <f t="shared" si="103"/>
        <v>28640.5</v>
      </c>
      <c r="AI252" s="41">
        <v>26502.6</v>
      </c>
      <c r="AJ252" s="40">
        <v>28187.599999999999</v>
      </c>
      <c r="AK252" s="49">
        <f>28445.8-4000</f>
        <v>24445.8</v>
      </c>
      <c r="AL252" s="39">
        <f t="shared" si="80"/>
        <v>24445.8</v>
      </c>
      <c r="AM252" s="49"/>
      <c r="AN252" s="49">
        <f t="shared" si="81"/>
        <v>24445.8</v>
      </c>
      <c r="AO252" s="49">
        <f>65862/3</f>
        <v>21954</v>
      </c>
    </row>
    <row r="253" spans="1:41" s="18" customFormat="1" ht="13.2" x14ac:dyDescent="0.25">
      <c r="A253" s="46">
        <v>67320</v>
      </c>
      <c r="B253" s="45" t="s">
        <v>53</v>
      </c>
      <c r="C253" s="43">
        <v>344585.6</v>
      </c>
      <c r="D253" s="43">
        <f t="shared" si="94"/>
        <v>28715.466666666664</v>
      </c>
      <c r="E253" s="43">
        <v>27529.7</v>
      </c>
      <c r="F253" s="43">
        <v>30525.8</v>
      </c>
      <c r="G253" s="43">
        <f t="shared" si="95"/>
        <v>80288.444799999997</v>
      </c>
      <c r="H253" s="44">
        <f t="shared" si="96"/>
        <v>0.31992995514825112</v>
      </c>
      <c r="I253" s="43">
        <v>20472.8</v>
      </c>
      <c r="J253" s="43"/>
      <c r="K253" s="43"/>
      <c r="L253" s="43">
        <f>SUM(I253:K253)+8545.1</f>
        <v>29017.9</v>
      </c>
      <c r="M253" s="43">
        <v>27689.1</v>
      </c>
      <c r="N253" s="43">
        <f t="shared" si="98"/>
        <v>-1328.8000000000029</v>
      </c>
      <c r="O253" s="43">
        <f t="shared" si="99"/>
        <v>95.420757532419628</v>
      </c>
      <c r="P253" s="43">
        <v>90995.599999999991</v>
      </c>
      <c r="Q253" s="44">
        <f t="shared" si="100"/>
        <v>0.37126468097941628</v>
      </c>
      <c r="R253" s="43">
        <f>6201897*Q253/100+5000</f>
        <v>28025.453111721989</v>
      </c>
      <c r="S253" s="43"/>
      <c r="T253" s="43"/>
      <c r="U253" s="43"/>
      <c r="V253" s="43"/>
      <c r="W253" s="43"/>
      <c r="X253" s="43">
        <f t="shared" si="101"/>
        <v>28025.453111721989</v>
      </c>
      <c r="Y253" s="43">
        <v>23037.901000000002</v>
      </c>
      <c r="Z253" s="43">
        <f>Y253</f>
        <v>23037.901000000002</v>
      </c>
      <c r="AA253" s="43">
        <v>7218</v>
      </c>
      <c r="AB253" s="43"/>
      <c r="AC253" s="43"/>
      <c r="AD253" s="43">
        <f t="shared" si="102"/>
        <v>30255.901000000002</v>
      </c>
      <c r="AE253" s="43">
        <v>27889.7</v>
      </c>
      <c r="AF253" s="43"/>
      <c r="AG253" s="43"/>
      <c r="AH253" s="42">
        <f t="shared" si="103"/>
        <v>27889.7</v>
      </c>
      <c r="AI253" s="41">
        <f>28497.5+30000</f>
        <v>58497.5</v>
      </c>
      <c r="AJ253" s="40">
        <v>50497.5</v>
      </c>
      <c r="AK253" s="49">
        <f>44361.5-7000-10000</f>
        <v>27361.5</v>
      </c>
      <c r="AL253" s="39">
        <f t="shared" si="80"/>
        <v>27361.5</v>
      </c>
      <c r="AM253" s="49"/>
      <c r="AN253" s="49">
        <f t="shared" si="81"/>
        <v>27361.5</v>
      </c>
      <c r="AO253" s="49">
        <f>85928.4/3</f>
        <v>28642.799999999999</v>
      </c>
    </row>
    <row r="254" spans="1:41" s="18" customFormat="1" ht="20.399999999999999" x14ac:dyDescent="0.25">
      <c r="A254" s="46">
        <v>68120</v>
      </c>
      <c r="B254" s="45" t="s">
        <v>52</v>
      </c>
      <c r="C254" s="43">
        <v>1044.8</v>
      </c>
      <c r="D254" s="43">
        <f t="shared" si="94"/>
        <v>87.066666666666663</v>
      </c>
      <c r="E254" s="43">
        <v>146.4</v>
      </c>
      <c r="F254" s="43">
        <v>125</v>
      </c>
      <c r="G254" s="43">
        <f t="shared" si="95"/>
        <v>243.4384</v>
      </c>
      <c r="H254" s="44">
        <f t="shared" si="96"/>
        <v>1.4956203947470155E-3</v>
      </c>
      <c r="I254" s="43">
        <v>177.6</v>
      </c>
      <c r="J254" s="43"/>
      <c r="K254" s="43"/>
      <c r="L254" s="43">
        <f t="shared" ref="L254:L279" si="104">SUM(I254:K254)</f>
        <v>177.6</v>
      </c>
      <c r="M254" s="43">
        <v>177.6</v>
      </c>
      <c r="N254" s="43">
        <f t="shared" si="98"/>
        <v>0</v>
      </c>
      <c r="O254" s="43">
        <f t="shared" si="99"/>
        <v>100</v>
      </c>
      <c r="P254" s="43">
        <v>264.39999999999998</v>
      </c>
      <c r="Q254" s="44">
        <f t="shared" si="100"/>
        <v>1.0787596504771403E-3</v>
      </c>
      <c r="R254" s="43">
        <f>6201897*Q254/100+80</f>
        <v>146.90356240015225</v>
      </c>
      <c r="S254" s="43"/>
      <c r="T254" s="43"/>
      <c r="U254" s="43"/>
      <c r="V254" s="43"/>
      <c r="W254" s="43"/>
      <c r="X254" s="43">
        <f t="shared" si="101"/>
        <v>146.90356240015225</v>
      </c>
      <c r="Y254" s="43">
        <v>5.1999999999999993</v>
      </c>
      <c r="Z254" s="43">
        <f>D254</f>
        <v>87.066666666666663</v>
      </c>
      <c r="AA254" s="43"/>
      <c r="AB254" s="43"/>
      <c r="AC254" s="43"/>
      <c r="AD254" s="43">
        <f t="shared" si="102"/>
        <v>87.066666666666663</v>
      </c>
      <c r="AE254" s="43">
        <v>229.1</v>
      </c>
      <c r="AF254" s="43"/>
      <c r="AG254" s="43"/>
      <c r="AH254" s="42">
        <f t="shared" si="103"/>
        <v>229.1</v>
      </c>
      <c r="AI254" s="41">
        <v>87</v>
      </c>
      <c r="AJ254" s="40">
        <v>77</v>
      </c>
      <c r="AK254" s="49">
        <v>0</v>
      </c>
      <c r="AL254" s="39">
        <f t="shared" si="80"/>
        <v>0</v>
      </c>
      <c r="AM254" s="49"/>
      <c r="AN254" s="49">
        <f t="shared" si="81"/>
        <v>0</v>
      </c>
      <c r="AO254" s="49">
        <f>59.1/3</f>
        <v>19.7</v>
      </c>
    </row>
    <row r="255" spans="1:41" s="18" customFormat="1" ht="13.5" customHeight="1" x14ac:dyDescent="0.25">
      <c r="A255" s="46">
        <v>69110</v>
      </c>
      <c r="B255" s="45" t="s">
        <v>51</v>
      </c>
      <c r="C255" s="43">
        <v>105225.4</v>
      </c>
      <c r="D255" s="43">
        <f t="shared" si="94"/>
        <v>8768.7833333333328</v>
      </c>
      <c r="E255" s="43">
        <v>8627.9</v>
      </c>
      <c r="F255" s="43">
        <v>8737.2999999999993</v>
      </c>
      <c r="G255" s="43">
        <f t="shared" si="95"/>
        <v>24517.518199999999</v>
      </c>
      <c r="H255" s="44">
        <f t="shared" si="96"/>
        <v>9.5695457917689269E-2</v>
      </c>
      <c r="I255" s="43">
        <v>7614.5</v>
      </c>
      <c r="J255" s="43"/>
      <c r="K255" s="43"/>
      <c r="L255" s="43">
        <f t="shared" si="104"/>
        <v>7614.5</v>
      </c>
      <c r="M255" s="43">
        <v>7614.5</v>
      </c>
      <c r="N255" s="43">
        <f t="shared" si="98"/>
        <v>0</v>
      </c>
      <c r="O255" s="43">
        <f t="shared" si="99"/>
        <v>100</v>
      </c>
      <c r="P255" s="43">
        <v>27328.3</v>
      </c>
      <c r="Q255" s="44">
        <f t="shared" si="100"/>
        <v>0.11150025475088668</v>
      </c>
      <c r="R255" s="43">
        <f>6201897*Q255/100+1000</f>
        <v>7915.1309543875986</v>
      </c>
      <c r="S255" s="43">
        <v>1194.3</v>
      </c>
      <c r="T255" s="43"/>
      <c r="U255" s="43"/>
      <c r="V255" s="43"/>
      <c r="W255" s="43"/>
      <c r="X255" s="43">
        <f t="shared" si="101"/>
        <v>9109.4309543875988</v>
      </c>
      <c r="Y255" s="43">
        <v>8985.2669999999998</v>
      </c>
      <c r="Z255" s="43">
        <f t="shared" ref="Z255:Z274" si="105">Y255</f>
        <v>8985.2669999999998</v>
      </c>
      <c r="AA255" s="43"/>
      <c r="AB255" s="43"/>
      <c r="AC255" s="43"/>
      <c r="AD255" s="43">
        <f t="shared" si="102"/>
        <v>8985.2669999999998</v>
      </c>
      <c r="AE255" s="43">
        <v>8985.2999999999993</v>
      </c>
      <c r="AF255" s="43"/>
      <c r="AG255" s="43">
        <v>248.3</v>
      </c>
      <c r="AH255" s="42">
        <f t="shared" si="103"/>
        <v>9233.5999999999985</v>
      </c>
      <c r="AI255" s="41">
        <v>8337.9</v>
      </c>
      <c r="AJ255" s="40">
        <v>8840.1999999999989</v>
      </c>
      <c r="AK255" s="49">
        <v>8558.4</v>
      </c>
      <c r="AL255" s="39">
        <f t="shared" si="80"/>
        <v>8558.4</v>
      </c>
      <c r="AM255" s="49"/>
      <c r="AN255" s="49">
        <f t="shared" si="81"/>
        <v>8558.4</v>
      </c>
      <c r="AO255" s="49">
        <f>26853.7/3</f>
        <v>8951.2333333333336</v>
      </c>
    </row>
    <row r="256" spans="1:41" s="18" customFormat="1" ht="20.399999999999999" x14ac:dyDescent="0.25">
      <c r="A256" s="46">
        <v>69120</v>
      </c>
      <c r="B256" s="45" t="s">
        <v>50</v>
      </c>
      <c r="C256" s="43">
        <f>1691725.2+6502.6+4441.6</f>
        <v>1702669.4000000001</v>
      </c>
      <c r="D256" s="43">
        <f t="shared" si="94"/>
        <v>141889.11666666667</v>
      </c>
      <c r="E256" s="43">
        <v>128593</v>
      </c>
      <c r="F256" s="43">
        <v>126130.6</v>
      </c>
      <c r="G256" s="43">
        <f t="shared" si="95"/>
        <v>396721.97020000004</v>
      </c>
      <c r="H256" s="44">
        <f t="shared" si="96"/>
        <v>1.4037207486491559</v>
      </c>
      <c r="I256" s="43">
        <v>130175.4</v>
      </c>
      <c r="J256" s="43">
        <v>20894</v>
      </c>
      <c r="K256" s="43"/>
      <c r="L256" s="43">
        <f t="shared" si="104"/>
        <v>151069.4</v>
      </c>
      <c r="M256" s="43">
        <v>149221.1</v>
      </c>
      <c r="N256" s="43">
        <f t="shared" si="98"/>
        <v>-1848.2999999999884</v>
      </c>
      <c r="O256" s="43">
        <f t="shared" si="99"/>
        <v>98.776522578364663</v>
      </c>
      <c r="P256" s="43">
        <v>440588.5</v>
      </c>
      <c r="Q256" s="44">
        <f t="shared" si="100"/>
        <v>1.7976138285334626</v>
      </c>
      <c r="R256" s="43">
        <f>6201897*Q256/100+15000</f>
        <v>126486.15810340196</v>
      </c>
      <c r="S256" s="43">
        <v>28048.400000000001</v>
      </c>
      <c r="T256" s="43"/>
      <c r="U256" s="43"/>
      <c r="V256" s="43"/>
      <c r="W256" s="43"/>
      <c r="X256" s="43">
        <f t="shared" si="101"/>
        <v>154534.55810340197</v>
      </c>
      <c r="Y256" s="43">
        <v>123881.466</v>
      </c>
      <c r="Z256" s="43">
        <f t="shared" si="105"/>
        <v>123881.466</v>
      </c>
      <c r="AA256" s="43">
        <v>17333.900000000001</v>
      </c>
      <c r="AB256" s="43"/>
      <c r="AC256" s="43"/>
      <c r="AD256" s="43">
        <f t="shared" si="102"/>
        <v>141215.36600000001</v>
      </c>
      <c r="AE256" s="43">
        <v>147541.4</v>
      </c>
      <c r="AF256" s="43"/>
      <c r="AG256" s="43">
        <v>-248.3</v>
      </c>
      <c r="AH256" s="42">
        <f t="shared" si="103"/>
        <v>147293.1</v>
      </c>
      <c r="AI256" s="41">
        <f>140818.5+1000</f>
        <v>141818.5</v>
      </c>
      <c r="AJ256" s="40">
        <v>168009.1</v>
      </c>
      <c r="AK256" s="49">
        <f>280537-149051.6+12650-20000</f>
        <v>124135.4</v>
      </c>
      <c r="AL256" s="39">
        <f t="shared" si="80"/>
        <v>124135.4</v>
      </c>
      <c r="AM256" s="49">
        <v>17100</v>
      </c>
      <c r="AN256" s="49">
        <f t="shared" si="81"/>
        <v>141235.4</v>
      </c>
      <c r="AO256" s="49">
        <f>386368.8/3</f>
        <v>128789.59999999999</v>
      </c>
    </row>
    <row r="257" spans="1:41" s="18" customFormat="1" ht="20.399999999999999" x14ac:dyDescent="0.25">
      <c r="A257" s="46">
        <v>70120</v>
      </c>
      <c r="B257" s="45" t="s">
        <v>49</v>
      </c>
      <c r="C257" s="43">
        <v>15040.9</v>
      </c>
      <c r="D257" s="43">
        <f t="shared" si="94"/>
        <v>1253.4083333333333</v>
      </c>
      <c r="E257" s="43">
        <v>1193</v>
      </c>
      <c r="F257" s="43">
        <v>1151.8</v>
      </c>
      <c r="G257" s="43">
        <f t="shared" si="95"/>
        <v>3504.5297000000005</v>
      </c>
      <c r="H257" s="44">
        <f t="shared" si="96"/>
        <v>1.2921631177607968E-2</v>
      </c>
      <c r="I257" s="43">
        <v>999.5</v>
      </c>
      <c r="J257" s="43"/>
      <c r="K257" s="43"/>
      <c r="L257" s="43">
        <f t="shared" si="104"/>
        <v>999.5</v>
      </c>
      <c r="M257" s="43">
        <v>997.7</v>
      </c>
      <c r="N257" s="43">
        <f t="shared" si="98"/>
        <v>-1.7999999999999545</v>
      </c>
      <c r="O257" s="43">
        <f t="shared" si="99"/>
        <v>99.81990995497749</v>
      </c>
      <c r="P257" s="43">
        <v>4066.5999999999995</v>
      </c>
      <c r="Q257" s="44">
        <f t="shared" si="100"/>
        <v>1.6591845668042126E-2</v>
      </c>
      <c r="R257" s="43">
        <f>6201897*Q257/100</f>
        <v>1029.0091787309345</v>
      </c>
      <c r="S257" s="43"/>
      <c r="T257" s="43"/>
      <c r="U257" s="43"/>
      <c r="V257" s="43"/>
      <c r="W257" s="43"/>
      <c r="X257" s="43">
        <f t="shared" si="101"/>
        <v>1029.0091787309345</v>
      </c>
      <c r="Y257" s="43">
        <v>1113.1329999999998</v>
      </c>
      <c r="Z257" s="43">
        <f t="shared" si="105"/>
        <v>1113.1329999999998</v>
      </c>
      <c r="AA257" s="43"/>
      <c r="AB257" s="43"/>
      <c r="AC257" s="43"/>
      <c r="AD257" s="43">
        <f t="shared" si="102"/>
        <v>1113.1329999999998</v>
      </c>
      <c r="AE257" s="43">
        <v>1217.9000000000001</v>
      </c>
      <c r="AF257" s="43"/>
      <c r="AG257" s="43"/>
      <c r="AH257" s="42">
        <f t="shared" si="103"/>
        <v>1217.9000000000001</v>
      </c>
      <c r="AI257" s="41">
        <v>1281.5</v>
      </c>
      <c r="AJ257" s="40">
        <v>1420.4</v>
      </c>
      <c r="AK257" s="49">
        <f>1726.1-500</f>
        <v>1226.0999999999999</v>
      </c>
      <c r="AL257" s="39">
        <f t="shared" si="80"/>
        <v>1226.0999999999999</v>
      </c>
      <c r="AM257" s="49"/>
      <c r="AN257" s="49">
        <f t="shared" si="81"/>
        <v>1226.0999999999999</v>
      </c>
      <c r="AO257" s="49">
        <f>3344.4/3</f>
        <v>1114.8</v>
      </c>
    </row>
    <row r="258" spans="1:41" s="18" customFormat="1" ht="20.399999999999999" x14ac:dyDescent="0.25">
      <c r="A258" s="46">
        <v>71110</v>
      </c>
      <c r="B258" s="45" t="s">
        <v>48</v>
      </c>
      <c r="C258" s="43">
        <v>27197.1</v>
      </c>
      <c r="D258" s="43">
        <f t="shared" si="94"/>
        <v>2266.4249999999997</v>
      </c>
      <c r="E258" s="43">
        <v>2879.3</v>
      </c>
      <c r="F258" s="43">
        <v>1445.2</v>
      </c>
      <c r="G258" s="43">
        <f t="shared" si="95"/>
        <v>6336.9242999999997</v>
      </c>
      <c r="H258" s="44">
        <f t="shared" si="96"/>
        <v>2.3831283703328918E-2</v>
      </c>
      <c r="I258" s="43">
        <v>2524.5</v>
      </c>
      <c r="J258" s="43"/>
      <c r="K258" s="43"/>
      <c r="L258" s="43">
        <f t="shared" si="104"/>
        <v>2524.5</v>
      </c>
      <c r="M258" s="43">
        <v>2524.1999999999998</v>
      </c>
      <c r="N258" s="43">
        <f t="shared" si="98"/>
        <v>-0.3000000000001819</v>
      </c>
      <c r="O258" s="43">
        <f t="shared" si="99"/>
        <v>99.988116458704695</v>
      </c>
      <c r="P258" s="43">
        <v>6811.9</v>
      </c>
      <c r="Q258" s="44">
        <f t="shared" si="100"/>
        <v>2.7792749103953227E-2</v>
      </c>
      <c r="R258" s="43">
        <f>6201897*Q258/100+300</f>
        <v>2023.677672895602</v>
      </c>
      <c r="S258" s="43"/>
      <c r="T258" s="43"/>
      <c r="U258" s="43"/>
      <c r="V258" s="43"/>
      <c r="W258" s="43"/>
      <c r="X258" s="43">
        <f t="shared" si="101"/>
        <v>2023.677672895602</v>
      </c>
      <c r="Y258" s="43">
        <v>1114.866</v>
      </c>
      <c r="Z258" s="43">
        <f t="shared" si="105"/>
        <v>1114.866</v>
      </c>
      <c r="AA258" s="43"/>
      <c r="AB258" s="43"/>
      <c r="AC258" s="43"/>
      <c r="AD258" s="43">
        <f t="shared" si="102"/>
        <v>1114.866</v>
      </c>
      <c r="AE258" s="43">
        <v>1644.1</v>
      </c>
      <c r="AF258" s="43"/>
      <c r="AG258" s="43"/>
      <c r="AH258" s="42">
        <f t="shared" si="103"/>
        <v>1644.1</v>
      </c>
      <c r="AI258" s="41">
        <v>1644.1</v>
      </c>
      <c r="AJ258" s="40">
        <v>2896.3</v>
      </c>
      <c r="AK258" s="49">
        <f>4641.6-2000-1000</f>
        <v>1641.6000000000004</v>
      </c>
      <c r="AL258" s="39">
        <f t="shared" si="80"/>
        <v>1641.6000000000004</v>
      </c>
      <c r="AM258" s="49"/>
      <c r="AN258" s="49">
        <f t="shared" si="81"/>
        <v>1641.6000000000004</v>
      </c>
      <c r="AO258" s="49">
        <f>3400.2/3</f>
        <v>1133.3999999999999</v>
      </c>
    </row>
    <row r="259" spans="1:41" s="18" customFormat="1" ht="20.399999999999999" x14ac:dyDescent="0.25">
      <c r="A259" s="46">
        <v>72110</v>
      </c>
      <c r="B259" s="45" t="s">
        <v>47</v>
      </c>
      <c r="C259" s="43">
        <v>25090.2</v>
      </c>
      <c r="D259" s="43">
        <f t="shared" si="94"/>
        <v>2090.85</v>
      </c>
      <c r="E259" s="43">
        <v>2029.2</v>
      </c>
      <c r="F259" s="43">
        <v>1663.1</v>
      </c>
      <c r="G259" s="43">
        <f t="shared" si="95"/>
        <v>5846.0165999999999</v>
      </c>
      <c r="H259" s="44">
        <f t="shared" si="96"/>
        <v>2.0347380926766415E-2</v>
      </c>
      <c r="I259" s="43">
        <v>2234.6999999999998</v>
      </c>
      <c r="J259" s="43"/>
      <c r="K259" s="43"/>
      <c r="L259" s="43">
        <f t="shared" si="104"/>
        <v>2234.6999999999998</v>
      </c>
      <c r="M259" s="43">
        <v>1547.4</v>
      </c>
      <c r="N259" s="43">
        <f t="shared" si="98"/>
        <v>-687.29999999999973</v>
      </c>
      <c r="O259" s="43">
        <f t="shared" si="99"/>
        <v>69.244193851523704</v>
      </c>
      <c r="P259" s="43">
        <v>6675.2999999999993</v>
      </c>
      <c r="Q259" s="44">
        <f t="shared" si="100"/>
        <v>2.7235417151399599E-2</v>
      </c>
      <c r="R259" s="43">
        <f>6201897*Q259/100</f>
        <v>1689.1125192501372</v>
      </c>
      <c r="S259" s="43"/>
      <c r="T259" s="43"/>
      <c r="U259" s="43"/>
      <c r="V259" s="43"/>
      <c r="W259" s="43"/>
      <c r="X259" s="43">
        <f t="shared" si="101"/>
        <v>1689.1125192501372</v>
      </c>
      <c r="Y259" s="43">
        <v>1828.5340000000001</v>
      </c>
      <c r="Z259" s="43">
        <f t="shared" si="105"/>
        <v>1828.5340000000001</v>
      </c>
      <c r="AA259" s="43"/>
      <c r="AB259" s="43"/>
      <c r="AC259" s="43"/>
      <c r="AD259" s="43">
        <f t="shared" si="102"/>
        <v>1828.5340000000001</v>
      </c>
      <c r="AE259" s="43">
        <f>4049.8-2000</f>
        <v>2049.8000000000002</v>
      </c>
      <c r="AF259" s="43"/>
      <c r="AG259" s="43"/>
      <c r="AH259" s="42">
        <f t="shared" si="103"/>
        <v>2049.8000000000002</v>
      </c>
      <c r="AI259" s="41">
        <v>2080.9</v>
      </c>
      <c r="AJ259" s="40">
        <v>2080.9</v>
      </c>
      <c r="AK259" s="49">
        <f>4629.3-2000-1000</f>
        <v>1629.3000000000002</v>
      </c>
      <c r="AL259" s="39">
        <f t="shared" ref="AL259:AL281" si="106">AK259</f>
        <v>1629.3000000000002</v>
      </c>
      <c r="AM259" s="49"/>
      <c r="AN259" s="49">
        <f t="shared" ref="AN259:AN281" si="107">AK259+AM259</f>
        <v>1629.3000000000002</v>
      </c>
      <c r="AO259" s="49">
        <f>5104.9/3</f>
        <v>1701.6333333333332</v>
      </c>
    </row>
    <row r="260" spans="1:41" s="18" customFormat="1" ht="20.399999999999999" x14ac:dyDescent="0.25">
      <c r="A260" s="46">
        <v>72120</v>
      </c>
      <c r="B260" s="45" t="s">
        <v>46</v>
      </c>
      <c r="C260" s="43">
        <v>15149.3</v>
      </c>
      <c r="D260" s="43">
        <f t="shared" si="94"/>
        <v>1262.4416666666666</v>
      </c>
      <c r="E260" s="43">
        <v>1214.5</v>
      </c>
      <c r="F260" s="43">
        <v>1195.4000000000001</v>
      </c>
      <c r="G260" s="43">
        <f t="shared" si="95"/>
        <v>3529.7869000000001</v>
      </c>
      <c r="H260" s="44">
        <f t="shared" si="96"/>
        <v>1.3280381684969906E-2</v>
      </c>
      <c r="I260" s="43">
        <v>1226.0999999999999</v>
      </c>
      <c r="J260" s="43"/>
      <c r="K260" s="43"/>
      <c r="L260" s="43">
        <f t="shared" si="104"/>
        <v>1226.0999999999999</v>
      </c>
      <c r="M260" s="43">
        <v>1169.7</v>
      </c>
      <c r="N260" s="43">
        <f t="shared" si="98"/>
        <v>-56.399999999999864</v>
      </c>
      <c r="O260" s="43">
        <f t="shared" si="99"/>
        <v>95.400048935649622</v>
      </c>
      <c r="P260" s="43">
        <v>4013.7</v>
      </c>
      <c r="Q260" s="44">
        <f t="shared" si="100"/>
        <v>1.6376012137367994E-2</v>
      </c>
      <c r="R260" s="43">
        <f>6201897*Q260/100+200</f>
        <v>1215.6234054670615</v>
      </c>
      <c r="S260" s="43"/>
      <c r="T260" s="43"/>
      <c r="U260" s="43"/>
      <c r="V260" s="43"/>
      <c r="W260" s="43"/>
      <c r="X260" s="43">
        <f t="shared" si="101"/>
        <v>1215.6234054670615</v>
      </c>
      <c r="Y260" s="43">
        <v>1098.0990000000002</v>
      </c>
      <c r="Z260" s="43">
        <f t="shared" si="105"/>
        <v>1098.0990000000002</v>
      </c>
      <c r="AA260" s="43"/>
      <c r="AB260" s="43"/>
      <c r="AC260" s="43"/>
      <c r="AD260" s="43">
        <f t="shared" si="102"/>
        <v>1098.0990000000002</v>
      </c>
      <c r="AE260" s="43">
        <f>2210.5-800</f>
        <v>1410.5</v>
      </c>
      <c r="AF260" s="43"/>
      <c r="AG260" s="43"/>
      <c r="AH260" s="42">
        <f t="shared" si="103"/>
        <v>1410.5</v>
      </c>
      <c r="AI260" s="41">
        <v>1284.5999999999999</v>
      </c>
      <c r="AJ260" s="40">
        <v>1284.5999999999999</v>
      </c>
      <c r="AK260" s="49">
        <f>2184.6-1000</f>
        <v>1184.5999999999999</v>
      </c>
      <c r="AL260" s="39">
        <f t="shared" si="106"/>
        <v>1184.5999999999999</v>
      </c>
      <c r="AM260" s="49"/>
      <c r="AN260" s="49">
        <f t="shared" si="107"/>
        <v>1184.5999999999999</v>
      </c>
      <c r="AO260" s="49">
        <f>2859/3</f>
        <v>953</v>
      </c>
    </row>
    <row r="261" spans="1:41" s="18" customFormat="1" ht="20.399999999999999" x14ac:dyDescent="0.25">
      <c r="A261" s="46">
        <v>73110</v>
      </c>
      <c r="B261" s="45" t="s">
        <v>45</v>
      </c>
      <c r="C261" s="43">
        <v>37772.6</v>
      </c>
      <c r="D261" s="43">
        <f t="shared" si="94"/>
        <v>3147.7166666666667</v>
      </c>
      <c r="E261" s="43">
        <v>2588.1999999999998</v>
      </c>
      <c r="F261" s="43">
        <v>12598.7</v>
      </c>
      <c r="G261" s="43">
        <f t="shared" si="95"/>
        <v>8801.0157999999992</v>
      </c>
      <c r="H261" s="44">
        <f t="shared" si="96"/>
        <v>8.3691368360292756E-2</v>
      </c>
      <c r="I261" s="43">
        <v>2145.5</v>
      </c>
      <c r="J261" s="43"/>
      <c r="K261" s="43"/>
      <c r="L261" s="43">
        <f t="shared" si="104"/>
        <v>2145.5</v>
      </c>
      <c r="M261" s="43">
        <v>2031.6</v>
      </c>
      <c r="N261" s="43">
        <f t="shared" si="98"/>
        <v>-113.90000000000009</v>
      </c>
      <c r="O261" s="43">
        <f t="shared" si="99"/>
        <v>94.691214169191326</v>
      </c>
      <c r="P261" s="43">
        <v>7414.3999999999978</v>
      </c>
      <c r="Q261" s="44">
        <f t="shared" si="100"/>
        <v>3.0250966537434597E-2</v>
      </c>
      <c r="R261" s="43">
        <f>6201897*Q261/100+200</f>
        <v>2076.1337861561601</v>
      </c>
      <c r="S261" s="43"/>
      <c r="T261" s="43"/>
      <c r="U261" s="43"/>
      <c r="V261" s="43"/>
      <c r="W261" s="43"/>
      <c r="X261" s="43">
        <f t="shared" si="101"/>
        <v>2076.1337861561601</v>
      </c>
      <c r="Y261" s="43">
        <v>1588.1670000000001</v>
      </c>
      <c r="Z261" s="43">
        <f t="shared" si="105"/>
        <v>1588.1670000000001</v>
      </c>
      <c r="AA261" s="43">
        <v>4100</v>
      </c>
      <c r="AB261" s="43"/>
      <c r="AC261" s="43"/>
      <c r="AD261" s="43">
        <f t="shared" si="102"/>
        <v>5688.1670000000004</v>
      </c>
      <c r="AE261" s="43">
        <f>3447.7-1000</f>
        <v>2447.6999999999998</v>
      </c>
      <c r="AF261" s="43"/>
      <c r="AG261" s="43"/>
      <c r="AH261" s="42">
        <f t="shared" si="103"/>
        <v>2447.6999999999998</v>
      </c>
      <c r="AI261" s="41">
        <v>2447.4</v>
      </c>
      <c r="AJ261" s="40">
        <v>1972.3</v>
      </c>
      <c r="AK261" s="49">
        <f>7504-5000-500</f>
        <v>2004</v>
      </c>
      <c r="AL261" s="39">
        <f t="shared" si="106"/>
        <v>2004</v>
      </c>
      <c r="AM261" s="49"/>
      <c r="AN261" s="49">
        <f t="shared" si="107"/>
        <v>2004</v>
      </c>
      <c r="AO261" s="49">
        <f>5303.9/3</f>
        <v>1767.9666666666665</v>
      </c>
    </row>
    <row r="262" spans="1:41" s="18" customFormat="1" ht="20.399999999999999" x14ac:dyDescent="0.25">
      <c r="A262" s="46">
        <v>73131</v>
      </c>
      <c r="B262" s="45" t="s">
        <v>44</v>
      </c>
      <c r="C262" s="43">
        <v>20000</v>
      </c>
      <c r="D262" s="43">
        <f t="shared" si="94"/>
        <v>1666.6666666666667</v>
      </c>
      <c r="E262" s="43"/>
      <c r="F262" s="43"/>
      <c r="G262" s="43">
        <f t="shared" si="95"/>
        <v>4660</v>
      </c>
      <c r="H262" s="44">
        <f t="shared" si="96"/>
        <v>0</v>
      </c>
      <c r="I262" s="43">
        <f>7990664.7*H262/100+1666.7</f>
        <v>1666.7</v>
      </c>
      <c r="J262" s="43"/>
      <c r="K262" s="43"/>
      <c r="L262" s="43">
        <f t="shared" si="104"/>
        <v>1666.7</v>
      </c>
      <c r="M262" s="47"/>
      <c r="N262" s="43">
        <f t="shared" si="98"/>
        <v>-1666.7</v>
      </c>
      <c r="O262" s="43">
        <f t="shared" si="99"/>
        <v>0</v>
      </c>
      <c r="P262" s="44"/>
      <c r="Q262" s="44">
        <f t="shared" si="100"/>
        <v>0</v>
      </c>
      <c r="R262" s="43">
        <f>6201897*Q262/100</f>
        <v>0</v>
      </c>
      <c r="S262" s="43"/>
      <c r="T262" s="43"/>
      <c r="U262" s="43"/>
      <c r="V262" s="43"/>
      <c r="W262" s="43"/>
      <c r="X262" s="43">
        <f t="shared" si="101"/>
        <v>0</v>
      </c>
      <c r="Y262" s="43"/>
      <c r="Z262" s="43">
        <f t="shared" si="105"/>
        <v>0</v>
      </c>
      <c r="AA262" s="43"/>
      <c r="AB262" s="43"/>
      <c r="AC262" s="43"/>
      <c r="AD262" s="43">
        <f t="shared" si="102"/>
        <v>0</v>
      </c>
      <c r="AE262" s="43"/>
      <c r="AF262" s="43"/>
      <c r="AG262" s="43"/>
      <c r="AH262" s="42">
        <f t="shared" si="103"/>
        <v>0</v>
      </c>
      <c r="AI262" s="41">
        <v>2843.1</v>
      </c>
      <c r="AJ262" s="40">
        <v>2843.1</v>
      </c>
      <c r="AK262" s="49">
        <f>14529.4-12000</f>
        <v>2529.3999999999996</v>
      </c>
      <c r="AL262" s="39">
        <f t="shared" si="106"/>
        <v>2529.3999999999996</v>
      </c>
      <c r="AM262" s="49"/>
      <c r="AN262" s="49">
        <f t="shared" si="107"/>
        <v>2529.3999999999996</v>
      </c>
      <c r="AO262" s="49">
        <f>4795.1/3</f>
        <v>1598.3666666666668</v>
      </c>
    </row>
    <row r="263" spans="1:41" s="18" customFormat="1" ht="20.399999999999999" x14ac:dyDescent="0.25">
      <c r="A263" s="46">
        <v>73221</v>
      </c>
      <c r="B263" s="45" t="s">
        <v>43</v>
      </c>
      <c r="C263" s="43">
        <v>6955.3</v>
      </c>
      <c r="D263" s="43">
        <f t="shared" si="94"/>
        <v>579.60833333333335</v>
      </c>
      <c r="E263" s="43"/>
      <c r="F263" s="43"/>
      <c r="G263" s="43">
        <f t="shared" si="95"/>
        <v>1620.5849000000003</v>
      </c>
      <c r="H263" s="44">
        <f t="shared" si="96"/>
        <v>0</v>
      </c>
      <c r="I263" s="43">
        <f>7990664.7*H263/100+579.6</f>
        <v>579.6</v>
      </c>
      <c r="J263" s="43"/>
      <c r="K263" s="43">
        <v>554.9</v>
      </c>
      <c r="L263" s="43">
        <f t="shared" si="104"/>
        <v>1134.5</v>
      </c>
      <c r="M263" s="43">
        <v>1134.5</v>
      </c>
      <c r="N263" s="43">
        <f t="shared" si="98"/>
        <v>0</v>
      </c>
      <c r="O263" s="43">
        <f t="shared" si="99"/>
        <v>100</v>
      </c>
      <c r="P263" s="43">
        <v>1977.6999999999998</v>
      </c>
      <c r="Q263" s="44">
        <f t="shared" si="100"/>
        <v>8.0690732252217852E-3</v>
      </c>
      <c r="R263" s="43">
        <f>6201897*Q263/100</f>
        <v>500.43561028283312</v>
      </c>
      <c r="S263" s="43"/>
      <c r="T263" s="43"/>
      <c r="U263" s="43"/>
      <c r="V263" s="43"/>
      <c r="W263" s="43"/>
      <c r="X263" s="43">
        <f t="shared" si="101"/>
        <v>500.43561028283312</v>
      </c>
      <c r="Y263" s="43">
        <v>241.06699999999998</v>
      </c>
      <c r="Z263" s="43">
        <f t="shared" si="105"/>
        <v>241.06699999999998</v>
      </c>
      <c r="AA263" s="43"/>
      <c r="AB263" s="43"/>
      <c r="AC263" s="43">
        <v>80</v>
      </c>
      <c r="AD263" s="43">
        <f t="shared" si="102"/>
        <v>321.06700000000001</v>
      </c>
      <c r="AE263" s="43">
        <v>175.7</v>
      </c>
      <c r="AF263" s="43">
        <v>375</v>
      </c>
      <c r="AG263" s="43"/>
      <c r="AH263" s="42">
        <f t="shared" si="103"/>
        <v>550.70000000000005</v>
      </c>
      <c r="AI263" s="41">
        <v>775.8</v>
      </c>
      <c r="AJ263" s="40">
        <v>1895.3</v>
      </c>
      <c r="AK263" s="49">
        <v>229.4</v>
      </c>
      <c r="AL263" s="39">
        <f t="shared" si="106"/>
        <v>229.4</v>
      </c>
      <c r="AM263" s="49"/>
      <c r="AN263" s="49">
        <f t="shared" si="107"/>
        <v>229.4</v>
      </c>
      <c r="AO263" s="49">
        <f>740.7/3+4300</f>
        <v>4546.8999999999996</v>
      </c>
    </row>
    <row r="264" spans="1:41" s="18" customFormat="1" ht="12.75" customHeight="1" x14ac:dyDescent="0.25">
      <c r="A264" s="46">
        <v>74110</v>
      </c>
      <c r="B264" s="45" t="s">
        <v>42</v>
      </c>
      <c r="C264" s="43">
        <v>29001.200000000001</v>
      </c>
      <c r="D264" s="43">
        <f t="shared" si="94"/>
        <v>2416.7666666666669</v>
      </c>
      <c r="E264" s="43">
        <v>2434.5</v>
      </c>
      <c r="F264" s="43">
        <v>2336.1</v>
      </c>
      <c r="G264" s="43">
        <f t="shared" si="95"/>
        <v>6757.2796000000008</v>
      </c>
      <c r="H264" s="44">
        <f t="shared" si="96"/>
        <v>2.6289633954237706E-2</v>
      </c>
      <c r="I264" s="43">
        <v>1960.4</v>
      </c>
      <c r="J264" s="43"/>
      <c r="K264" s="43"/>
      <c r="L264" s="43">
        <f t="shared" si="104"/>
        <v>1960.4</v>
      </c>
      <c r="M264" s="43">
        <v>1960.4</v>
      </c>
      <c r="N264" s="43">
        <f t="shared" si="98"/>
        <v>0</v>
      </c>
      <c r="O264" s="43">
        <f t="shared" si="99"/>
        <v>100</v>
      </c>
      <c r="P264" s="43">
        <v>7587.7000000000007</v>
      </c>
      <c r="Q264" s="44">
        <f t="shared" si="100"/>
        <v>3.0958035551911491E-2</v>
      </c>
      <c r="R264" s="43">
        <f>6201897*Q264/100</f>
        <v>1919.9854781529323</v>
      </c>
      <c r="S264" s="43"/>
      <c r="T264" s="43"/>
      <c r="U264" s="43"/>
      <c r="V264" s="43"/>
      <c r="W264" s="43"/>
      <c r="X264" s="43">
        <f t="shared" si="101"/>
        <v>1919.9854781529323</v>
      </c>
      <c r="Y264" s="43">
        <v>2370.5670000000005</v>
      </c>
      <c r="Z264" s="43">
        <f t="shared" si="105"/>
        <v>2370.5670000000005</v>
      </c>
      <c r="AA264" s="43">
        <v>150</v>
      </c>
      <c r="AB264" s="43"/>
      <c r="AC264" s="43"/>
      <c r="AD264" s="43">
        <f t="shared" si="102"/>
        <v>2520.5670000000005</v>
      </c>
      <c r="AE264" s="43">
        <v>2955.3</v>
      </c>
      <c r="AF264" s="43"/>
      <c r="AG264" s="43"/>
      <c r="AH264" s="42">
        <f t="shared" si="103"/>
        <v>2955.3</v>
      </c>
      <c r="AI264" s="41">
        <v>1954.9</v>
      </c>
      <c r="AJ264" s="40">
        <v>2418.4</v>
      </c>
      <c r="AK264" s="49">
        <f>3268.5-1000</f>
        <v>2268.5</v>
      </c>
      <c r="AL264" s="39">
        <f t="shared" si="106"/>
        <v>2268.5</v>
      </c>
      <c r="AM264" s="49"/>
      <c r="AN264" s="49">
        <f t="shared" si="107"/>
        <v>2268.5</v>
      </c>
      <c r="AO264" s="49">
        <f>7119.7/3</f>
        <v>2373.2333333333331</v>
      </c>
    </row>
    <row r="265" spans="1:41" s="18" customFormat="1" ht="20.399999999999999" x14ac:dyDescent="0.25">
      <c r="A265" s="46">
        <v>74120</v>
      </c>
      <c r="B265" s="45" t="s">
        <v>41</v>
      </c>
      <c r="C265" s="43">
        <f>181959.5+2931.8+1241.6</f>
        <v>186132.9</v>
      </c>
      <c r="D265" s="43">
        <f t="shared" si="94"/>
        <v>15511.074999999999</v>
      </c>
      <c r="E265" s="43">
        <v>14905.9</v>
      </c>
      <c r="F265" s="43">
        <v>14689.6</v>
      </c>
      <c r="G265" s="43">
        <f t="shared" si="95"/>
        <v>43368.965700000001</v>
      </c>
      <c r="H265" s="44">
        <f t="shared" si="96"/>
        <v>0.16309371183763927</v>
      </c>
      <c r="I265" s="43">
        <v>14578.1</v>
      </c>
      <c r="J265" s="43"/>
      <c r="K265" s="43"/>
      <c r="L265" s="43">
        <f t="shared" si="104"/>
        <v>14578.1</v>
      </c>
      <c r="M265" s="43">
        <v>14334.4</v>
      </c>
      <c r="N265" s="43">
        <f t="shared" si="98"/>
        <v>-243.70000000000073</v>
      </c>
      <c r="O265" s="43">
        <f t="shared" si="99"/>
        <v>98.328314389392304</v>
      </c>
      <c r="P265" s="43">
        <v>48696.2</v>
      </c>
      <c r="Q265" s="44">
        <f t="shared" si="100"/>
        <v>0.19868190503617594</v>
      </c>
      <c r="R265" s="43">
        <f>6201897*Q265/100+2000</f>
        <v>14322.047107981445</v>
      </c>
      <c r="S265" s="43"/>
      <c r="T265" s="43"/>
      <c r="U265" s="43"/>
      <c r="V265" s="43"/>
      <c r="W265" s="43"/>
      <c r="X265" s="43">
        <f t="shared" si="101"/>
        <v>14322.047107981445</v>
      </c>
      <c r="Y265" s="43">
        <v>14868.832999999999</v>
      </c>
      <c r="Z265" s="43">
        <f t="shared" si="105"/>
        <v>14868.832999999999</v>
      </c>
      <c r="AA265" s="43">
        <v>292.89999999999998</v>
      </c>
      <c r="AB265" s="43"/>
      <c r="AC265" s="43"/>
      <c r="AD265" s="43">
        <f t="shared" si="102"/>
        <v>15161.732999999998</v>
      </c>
      <c r="AE265" s="43">
        <v>16381.7</v>
      </c>
      <c r="AF265" s="43"/>
      <c r="AG265" s="43"/>
      <c r="AH265" s="42">
        <f t="shared" si="103"/>
        <v>16381.7</v>
      </c>
      <c r="AI265" s="41">
        <v>15466.4</v>
      </c>
      <c r="AJ265" s="40">
        <v>14998.2</v>
      </c>
      <c r="AK265" s="49">
        <f>19453.9-5000-1000</f>
        <v>13453.900000000001</v>
      </c>
      <c r="AL265" s="39">
        <f t="shared" si="106"/>
        <v>13453.900000000001</v>
      </c>
      <c r="AM265" s="49"/>
      <c r="AN265" s="49">
        <f t="shared" si="107"/>
        <v>13453.900000000001</v>
      </c>
      <c r="AO265" s="49">
        <f>44754.4/3</f>
        <v>14918.133333333333</v>
      </c>
    </row>
    <row r="266" spans="1:41" s="18" customFormat="1" ht="20.399999999999999" x14ac:dyDescent="0.25">
      <c r="A266" s="46">
        <v>75120</v>
      </c>
      <c r="B266" s="45" t="s">
        <v>40</v>
      </c>
      <c r="C266" s="43">
        <v>37513.599999999999</v>
      </c>
      <c r="D266" s="43">
        <f t="shared" si="94"/>
        <v>3126.1333333333332</v>
      </c>
      <c r="E266" s="43">
        <v>2209.9</v>
      </c>
      <c r="F266" s="43">
        <v>2684.5</v>
      </c>
      <c r="G266" s="43">
        <f t="shared" si="95"/>
        <v>8740.6687999999995</v>
      </c>
      <c r="H266" s="44">
        <f t="shared" si="96"/>
        <v>2.6971866101878378E-2</v>
      </c>
      <c r="I266" s="43">
        <v>3830.5</v>
      </c>
      <c r="J266" s="43"/>
      <c r="K266" s="43"/>
      <c r="L266" s="43">
        <f t="shared" si="104"/>
        <v>3830.5</v>
      </c>
      <c r="M266" s="43">
        <v>3715.7</v>
      </c>
      <c r="N266" s="43">
        <f t="shared" si="98"/>
        <v>-114.80000000000018</v>
      </c>
      <c r="O266" s="43">
        <f t="shared" si="99"/>
        <v>97.003002219031458</v>
      </c>
      <c r="P266" s="43">
        <v>9908.3000000000011</v>
      </c>
      <c r="Q266" s="44">
        <f t="shared" si="100"/>
        <v>4.0426150699026664E-2</v>
      </c>
      <c r="R266" s="43">
        <f>6201897*Q266/100+500</f>
        <v>3007.1882274184136</v>
      </c>
      <c r="S266" s="43"/>
      <c r="T266" s="43"/>
      <c r="U266" s="43"/>
      <c r="V266" s="43"/>
      <c r="W266" s="43"/>
      <c r="X266" s="43">
        <f t="shared" si="101"/>
        <v>3007.1882274184136</v>
      </c>
      <c r="Y266" s="43">
        <v>2884.2</v>
      </c>
      <c r="Z266" s="43">
        <f t="shared" si="105"/>
        <v>2884.2</v>
      </c>
      <c r="AA266" s="43"/>
      <c r="AB266" s="43"/>
      <c r="AC266" s="43"/>
      <c r="AD266" s="43">
        <f t="shared" si="102"/>
        <v>2884.2</v>
      </c>
      <c r="AE266" s="43">
        <v>3571.5</v>
      </c>
      <c r="AF266" s="43"/>
      <c r="AG266" s="43"/>
      <c r="AH266" s="42">
        <f t="shared" si="103"/>
        <v>3571.5</v>
      </c>
      <c r="AI266" s="41">
        <v>3571.5</v>
      </c>
      <c r="AJ266" s="40">
        <v>2980</v>
      </c>
      <c r="AK266" s="49">
        <f>4264.1-1300</f>
        <v>2964.1000000000004</v>
      </c>
      <c r="AL266" s="39">
        <f t="shared" si="106"/>
        <v>2964.1000000000004</v>
      </c>
      <c r="AM266" s="49"/>
      <c r="AN266" s="49">
        <f t="shared" si="107"/>
        <v>2964.1000000000004</v>
      </c>
      <c r="AO266" s="49">
        <f>8741.9/3</f>
        <v>2913.9666666666667</v>
      </c>
    </row>
    <row r="267" spans="1:41" s="18" customFormat="1" ht="20.399999999999999" x14ac:dyDescent="0.25">
      <c r="A267" s="46">
        <v>75160</v>
      </c>
      <c r="B267" s="45" t="s">
        <v>39</v>
      </c>
      <c r="C267" s="43">
        <v>1600</v>
      </c>
      <c r="D267" s="43">
        <f t="shared" si="94"/>
        <v>133.33333333333334</v>
      </c>
      <c r="E267" s="43"/>
      <c r="F267" s="43"/>
      <c r="G267" s="43">
        <f t="shared" si="95"/>
        <v>372.8</v>
      </c>
      <c r="H267" s="44">
        <f t="shared" si="96"/>
        <v>0</v>
      </c>
      <c r="I267" s="43">
        <f>7990664.7*H267/100</f>
        <v>0</v>
      </c>
      <c r="J267" s="43"/>
      <c r="K267" s="43"/>
      <c r="L267" s="43">
        <f t="shared" si="104"/>
        <v>0</v>
      </c>
      <c r="M267" s="43">
        <v>0</v>
      </c>
      <c r="N267" s="43">
        <f t="shared" si="98"/>
        <v>0</v>
      </c>
      <c r="O267" s="43"/>
      <c r="P267" s="47"/>
      <c r="Q267" s="44">
        <f t="shared" si="100"/>
        <v>0</v>
      </c>
      <c r="R267" s="43">
        <f>6201897*Q267/100</f>
        <v>0</v>
      </c>
      <c r="S267" s="43"/>
      <c r="T267" s="43"/>
      <c r="U267" s="43"/>
      <c r="V267" s="43"/>
      <c r="W267" s="43"/>
      <c r="X267" s="43">
        <f t="shared" si="101"/>
        <v>0</v>
      </c>
      <c r="Y267" s="43"/>
      <c r="Z267" s="43">
        <f t="shared" si="105"/>
        <v>0</v>
      </c>
      <c r="AA267" s="43"/>
      <c r="AB267" s="43"/>
      <c r="AC267" s="43"/>
      <c r="AD267" s="43">
        <f t="shared" si="102"/>
        <v>0</v>
      </c>
      <c r="AE267" s="43"/>
      <c r="AF267" s="43"/>
      <c r="AG267" s="43"/>
      <c r="AH267" s="42">
        <f t="shared" si="103"/>
        <v>0</v>
      </c>
      <c r="AI267" s="41"/>
      <c r="AJ267" s="40">
        <v>0</v>
      </c>
      <c r="AK267" s="49"/>
      <c r="AL267" s="39">
        <f t="shared" si="106"/>
        <v>0</v>
      </c>
      <c r="AM267" s="49"/>
      <c r="AN267" s="49">
        <f t="shared" si="107"/>
        <v>0</v>
      </c>
      <c r="AO267" s="49"/>
    </row>
    <row r="268" spans="1:41" s="18" customFormat="1" ht="13.5" customHeight="1" x14ac:dyDescent="0.25">
      <c r="A268" s="46">
        <v>76121</v>
      </c>
      <c r="B268" s="45" t="s">
        <v>347</v>
      </c>
      <c r="C268" s="43"/>
      <c r="D268" s="43"/>
      <c r="E268" s="43"/>
      <c r="F268" s="43"/>
      <c r="G268" s="43"/>
      <c r="H268" s="44"/>
      <c r="I268" s="43"/>
      <c r="J268" s="43"/>
      <c r="K268" s="43"/>
      <c r="L268" s="43"/>
      <c r="M268" s="43"/>
      <c r="N268" s="43"/>
      <c r="O268" s="43"/>
      <c r="P268" s="47"/>
      <c r="Q268" s="44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2"/>
      <c r="AI268" s="41"/>
      <c r="AJ268" s="40"/>
      <c r="AK268" s="49"/>
      <c r="AL268" s="39"/>
      <c r="AM268" s="49">
        <f>559.9+572.5</f>
        <v>1132.4000000000001</v>
      </c>
      <c r="AN268" s="49">
        <f t="shared" si="107"/>
        <v>1132.4000000000001</v>
      </c>
      <c r="AO268" s="49"/>
    </row>
    <row r="269" spans="1:41" s="18" customFormat="1" ht="13.5" customHeight="1" x14ac:dyDescent="0.25">
      <c r="A269" s="46">
        <v>77110</v>
      </c>
      <c r="B269" s="45" t="s">
        <v>38</v>
      </c>
      <c r="C269" s="43">
        <v>5527.6</v>
      </c>
      <c r="D269" s="43">
        <f t="shared" si="94"/>
        <v>460.63333333333338</v>
      </c>
      <c r="E269" s="43">
        <v>520.5</v>
      </c>
      <c r="F269" s="43">
        <v>448.4</v>
      </c>
      <c r="G269" s="43">
        <f t="shared" si="95"/>
        <v>1287.9308000000001</v>
      </c>
      <c r="H269" s="44">
        <f t="shared" si="96"/>
        <v>5.3393758307678082E-3</v>
      </c>
      <c r="I269" s="43">
        <v>308.5</v>
      </c>
      <c r="J269" s="43"/>
      <c r="K269" s="43"/>
      <c r="L269" s="43">
        <f t="shared" si="104"/>
        <v>308.5</v>
      </c>
      <c r="M269" s="43">
        <v>308.5</v>
      </c>
      <c r="N269" s="43">
        <f t="shared" si="98"/>
        <v>0</v>
      </c>
      <c r="O269" s="43">
        <f t="shared" ref="O269:O282" si="108">M269/L269*100</f>
        <v>100</v>
      </c>
      <c r="P269" s="43">
        <v>1415.9</v>
      </c>
      <c r="Q269" s="44">
        <f t="shared" si="100"/>
        <v>5.7769129694046264E-3</v>
      </c>
      <c r="R269" s="43">
        <f>6201897*Q269/100</f>
        <v>358.27819214211644</v>
      </c>
      <c r="S269" s="43"/>
      <c r="T269" s="43"/>
      <c r="U269" s="43">
        <v>168.4</v>
      </c>
      <c r="V269" s="43"/>
      <c r="W269" s="43"/>
      <c r="X269" s="43">
        <f t="shared" si="101"/>
        <v>526.67819214211647</v>
      </c>
      <c r="Y269" s="43">
        <v>401.83300000000003</v>
      </c>
      <c r="Z269" s="43">
        <f t="shared" si="105"/>
        <v>401.83300000000003</v>
      </c>
      <c r="AA269" s="43"/>
      <c r="AB269" s="43"/>
      <c r="AC269" s="43">
        <v>40.5</v>
      </c>
      <c r="AD269" s="43">
        <f t="shared" si="102"/>
        <v>442.33300000000003</v>
      </c>
      <c r="AE269" s="43">
        <v>440.2</v>
      </c>
      <c r="AF269" s="43"/>
      <c r="AG269" s="43"/>
      <c r="AH269" s="42">
        <f t="shared" si="103"/>
        <v>440.2</v>
      </c>
      <c r="AI269" s="41">
        <f>446.8+312</f>
        <v>758.8</v>
      </c>
      <c r="AJ269" s="40">
        <v>314.5</v>
      </c>
      <c r="AK269" s="49">
        <v>303.39999999999998</v>
      </c>
      <c r="AL269" s="39">
        <f t="shared" si="106"/>
        <v>303.39999999999998</v>
      </c>
      <c r="AM269" s="49"/>
      <c r="AN269" s="49">
        <f t="shared" si="107"/>
        <v>303.39999999999998</v>
      </c>
      <c r="AO269" s="49">
        <f>1341.4/3</f>
        <v>447.13333333333338</v>
      </c>
    </row>
    <row r="270" spans="1:41" s="18" customFormat="1" ht="13.5" customHeight="1" x14ac:dyDescent="0.25">
      <c r="A270" s="46">
        <v>79120</v>
      </c>
      <c r="B270" s="45" t="s">
        <v>37</v>
      </c>
      <c r="C270" s="43">
        <v>18459.2</v>
      </c>
      <c r="D270" s="43">
        <f t="shared" si="94"/>
        <v>1538.2666666666667</v>
      </c>
      <c r="E270" s="43"/>
      <c r="F270" s="43">
        <v>117.1</v>
      </c>
      <c r="G270" s="43">
        <f t="shared" si="95"/>
        <v>4300.9936000000007</v>
      </c>
      <c r="H270" s="44">
        <f t="shared" si="96"/>
        <v>6.4531005241295328E-4</v>
      </c>
      <c r="I270" s="43">
        <v>4003.2</v>
      </c>
      <c r="J270" s="43"/>
      <c r="K270" s="43">
        <v>-3648.9</v>
      </c>
      <c r="L270" s="43">
        <f t="shared" si="104"/>
        <v>354.29999999999973</v>
      </c>
      <c r="M270" s="43">
        <v>254.1</v>
      </c>
      <c r="N270" s="43">
        <f t="shared" si="98"/>
        <v>-100.19999999999973</v>
      </c>
      <c r="O270" s="43">
        <f t="shared" si="108"/>
        <v>71.718882303132986</v>
      </c>
      <c r="P270" s="43">
        <v>912.69999999999993</v>
      </c>
      <c r="Q270" s="44">
        <f t="shared" si="100"/>
        <v>3.7238424091924579E-3</v>
      </c>
      <c r="R270" s="43">
        <f>6201897*Q270/100</f>
        <v>230.94887066043478</v>
      </c>
      <c r="S270" s="43"/>
      <c r="T270" s="43"/>
      <c r="U270" s="43"/>
      <c r="V270" s="43"/>
      <c r="W270" s="43"/>
      <c r="X270" s="43">
        <f t="shared" si="101"/>
        <v>230.94887066043478</v>
      </c>
      <c r="Y270" s="43">
        <v>2573.2669999999998</v>
      </c>
      <c r="Z270" s="43">
        <f t="shared" si="105"/>
        <v>2573.2669999999998</v>
      </c>
      <c r="AA270" s="43"/>
      <c r="AB270" s="43"/>
      <c r="AC270" s="43">
        <v>-2330.6</v>
      </c>
      <c r="AD270" s="43">
        <f t="shared" si="102"/>
        <v>242.66699999999992</v>
      </c>
      <c r="AE270" s="43">
        <v>86.1</v>
      </c>
      <c r="AF270" s="43"/>
      <c r="AG270" s="43"/>
      <c r="AH270" s="42">
        <f t="shared" si="103"/>
        <v>86.1</v>
      </c>
      <c r="AI270" s="41">
        <v>420</v>
      </c>
      <c r="AJ270" s="40">
        <v>466.3</v>
      </c>
      <c r="AK270" s="49">
        <f>962.8-500</f>
        <v>462.79999999999995</v>
      </c>
      <c r="AL270" s="39">
        <f t="shared" si="106"/>
        <v>462.79999999999995</v>
      </c>
      <c r="AM270" s="49"/>
      <c r="AN270" s="49">
        <f t="shared" si="107"/>
        <v>462.79999999999995</v>
      </c>
      <c r="AO270" s="49">
        <f>90.7/3</f>
        <v>30.233333333333334</v>
      </c>
    </row>
    <row r="271" spans="1:41" s="18" customFormat="1" ht="13.2" x14ac:dyDescent="0.25">
      <c r="A271" s="46">
        <v>80120</v>
      </c>
      <c r="B271" s="45" t="s">
        <v>36</v>
      </c>
      <c r="C271" s="43">
        <v>311649.7</v>
      </c>
      <c r="D271" s="43">
        <f t="shared" si="94"/>
        <v>25970.808333333334</v>
      </c>
      <c r="E271" s="43">
        <v>20547.400000000001</v>
      </c>
      <c r="F271" s="43">
        <v>20021.5</v>
      </c>
      <c r="G271" s="43">
        <f t="shared" si="95"/>
        <v>72614.380100000009</v>
      </c>
      <c r="H271" s="44">
        <f t="shared" si="96"/>
        <v>0.2235654909080774</v>
      </c>
      <c r="I271" s="43">
        <v>33563.1</v>
      </c>
      <c r="J271" s="43"/>
      <c r="K271" s="43"/>
      <c r="L271" s="43">
        <f t="shared" si="104"/>
        <v>33563.1</v>
      </c>
      <c r="M271" s="43">
        <v>28721.200000000001</v>
      </c>
      <c r="N271" s="43">
        <f t="shared" si="98"/>
        <v>-4841.8999999999978</v>
      </c>
      <c r="O271" s="43">
        <f t="shared" si="108"/>
        <v>85.573740208741157</v>
      </c>
      <c r="P271" s="43">
        <v>81330.600000000006</v>
      </c>
      <c r="Q271" s="44">
        <f t="shared" si="100"/>
        <v>0.33183120132033328</v>
      </c>
      <c r="R271" s="43">
        <f>6201897*Q271/100</f>
        <v>20579.829319749711</v>
      </c>
      <c r="S271" s="43">
        <v>1608.1</v>
      </c>
      <c r="T271" s="43"/>
      <c r="U271" s="43"/>
      <c r="V271" s="43"/>
      <c r="W271" s="43"/>
      <c r="X271" s="43">
        <f t="shared" si="101"/>
        <v>22187.92931974971</v>
      </c>
      <c r="Y271" s="43">
        <v>21125.032999999999</v>
      </c>
      <c r="Z271" s="43">
        <f t="shared" si="105"/>
        <v>21125.032999999999</v>
      </c>
      <c r="AA271" s="43"/>
      <c r="AB271" s="43"/>
      <c r="AC271" s="43"/>
      <c r="AD271" s="43">
        <f t="shared" si="102"/>
        <v>21125.032999999999</v>
      </c>
      <c r="AE271" s="43">
        <v>23796.400000000001</v>
      </c>
      <c r="AF271" s="43"/>
      <c r="AG271" s="43"/>
      <c r="AH271" s="42">
        <f t="shared" si="103"/>
        <v>23796.400000000001</v>
      </c>
      <c r="AI271" s="41">
        <f>30142.5+5400</f>
        <v>35542.5</v>
      </c>
      <c r="AJ271" s="40">
        <v>32042.5</v>
      </c>
      <c r="AK271" s="49">
        <f>65653-45000</f>
        <v>20653</v>
      </c>
      <c r="AL271" s="39">
        <f t="shared" si="106"/>
        <v>20653</v>
      </c>
      <c r="AM271" s="49"/>
      <c r="AN271" s="49">
        <f t="shared" si="107"/>
        <v>20653</v>
      </c>
      <c r="AO271" s="49">
        <f>65253.5/3</f>
        <v>21751.166666666668</v>
      </c>
    </row>
    <row r="272" spans="1:41" s="18" customFormat="1" ht="23.25" customHeight="1" x14ac:dyDescent="0.25">
      <c r="A272" s="46">
        <v>81120</v>
      </c>
      <c r="B272" s="45" t="s">
        <v>35</v>
      </c>
      <c r="C272" s="43">
        <v>142567.9</v>
      </c>
      <c r="D272" s="43">
        <f t="shared" si="94"/>
        <v>11880.658333333333</v>
      </c>
      <c r="E272" s="43">
        <v>11528.7</v>
      </c>
      <c r="F272" s="43">
        <v>11060.6</v>
      </c>
      <c r="G272" s="43">
        <f t="shared" si="95"/>
        <v>33218.320699999997</v>
      </c>
      <c r="H272" s="44">
        <f t="shared" si="96"/>
        <v>0.12448422175040073</v>
      </c>
      <c r="I272" s="43">
        <v>12020</v>
      </c>
      <c r="J272" s="43"/>
      <c r="K272" s="43"/>
      <c r="L272" s="43">
        <f t="shared" si="104"/>
        <v>12020</v>
      </c>
      <c r="M272" s="43">
        <v>11771</v>
      </c>
      <c r="N272" s="43">
        <f t="shared" si="98"/>
        <v>-249</v>
      </c>
      <c r="O272" s="43">
        <f t="shared" si="108"/>
        <v>97.928452579034939</v>
      </c>
      <c r="P272" s="43">
        <v>37884.5</v>
      </c>
      <c r="Q272" s="44">
        <f t="shared" si="100"/>
        <v>0.15456985619705454</v>
      </c>
      <c r="R272" s="43">
        <f>6201897*Q272/100+2000</f>
        <v>11586.263274389441</v>
      </c>
      <c r="S272" s="43"/>
      <c r="T272" s="43"/>
      <c r="U272" s="43"/>
      <c r="V272" s="43"/>
      <c r="W272" s="43"/>
      <c r="X272" s="43">
        <f t="shared" si="101"/>
        <v>11586.263274389441</v>
      </c>
      <c r="Y272" s="43">
        <v>12310.73</v>
      </c>
      <c r="Z272" s="43">
        <f t="shared" si="105"/>
        <v>12310.73</v>
      </c>
      <c r="AA272" s="43"/>
      <c r="AB272" s="43"/>
      <c r="AC272" s="43"/>
      <c r="AD272" s="43">
        <f t="shared" si="102"/>
        <v>12310.73</v>
      </c>
      <c r="AE272" s="43">
        <v>11566.4</v>
      </c>
      <c r="AF272" s="43"/>
      <c r="AG272" s="43"/>
      <c r="AH272" s="42">
        <f t="shared" si="103"/>
        <v>11566.4</v>
      </c>
      <c r="AI272" s="41">
        <v>11567</v>
      </c>
      <c r="AJ272" s="40">
        <v>13778.8</v>
      </c>
      <c r="AK272" s="49">
        <v>10690.1</v>
      </c>
      <c r="AL272" s="39">
        <f t="shared" si="106"/>
        <v>10690.1</v>
      </c>
      <c r="AM272" s="49"/>
      <c r="AN272" s="49">
        <f t="shared" si="107"/>
        <v>10690.1</v>
      </c>
      <c r="AO272" s="49">
        <f>35747.9/3</f>
        <v>11915.966666666667</v>
      </c>
    </row>
    <row r="273" spans="1:41" s="18" customFormat="1" ht="36" customHeight="1" x14ac:dyDescent="0.25">
      <c r="A273" s="46">
        <v>82110</v>
      </c>
      <c r="B273" s="45" t="s">
        <v>34</v>
      </c>
      <c r="C273" s="43">
        <v>11305.5</v>
      </c>
      <c r="D273" s="43">
        <f t="shared" si="94"/>
        <v>942.125</v>
      </c>
      <c r="E273" s="43">
        <v>990</v>
      </c>
      <c r="F273" s="43">
        <v>741</v>
      </c>
      <c r="G273" s="43">
        <f t="shared" si="95"/>
        <v>2634.1815000000001</v>
      </c>
      <c r="H273" s="44">
        <f t="shared" si="96"/>
        <v>9.5391263939096672E-3</v>
      </c>
      <c r="I273" s="43">
        <f>7990664.7*H273/100+100</f>
        <v>862.23960544652277</v>
      </c>
      <c r="J273" s="43"/>
      <c r="K273" s="43"/>
      <c r="L273" s="43">
        <f t="shared" si="104"/>
        <v>862.23960544652277</v>
      </c>
      <c r="M273" s="43">
        <v>862.2</v>
      </c>
      <c r="N273" s="43">
        <f t="shared" si="98"/>
        <v>-3.9605446522728016E-2</v>
      </c>
      <c r="O273" s="43">
        <f t="shared" si="108"/>
        <v>99.995406677416284</v>
      </c>
      <c r="P273" s="43">
        <v>3038.7000000000003</v>
      </c>
      <c r="Q273" s="44">
        <f t="shared" si="100"/>
        <v>1.2397983925510161E-2</v>
      </c>
      <c r="R273" s="43">
        <f>6201897*Q273/100</f>
        <v>768.91019313669688</v>
      </c>
      <c r="S273" s="43"/>
      <c r="T273" s="43"/>
      <c r="U273" s="43"/>
      <c r="V273" s="43"/>
      <c r="W273" s="43"/>
      <c r="X273" s="43">
        <f t="shared" si="101"/>
        <v>768.91019313669688</v>
      </c>
      <c r="Y273" s="43">
        <v>769.87</v>
      </c>
      <c r="Z273" s="43">
        <f t="shared" si="105"/>
        <v>769.87</v>
      </c>
      <c r="AA273" s="43">
        <f>1085-Z273</f>
        <v>315.13</v>
      </c>
      <c r="AB273" s="43"/>
      <c r="AC273" s="43"/>
      <c r="AD273" s="43">
        <f t="shared" si="102"/>
        <v>1085</v>
      </c>
      <c r="AE273" s="43">
        <v>983.9</v>
      </c>
      <c r="AF273" s="43">
        <v>123.2</v>
      </c>
      <c r="AG273" s="43"/>
      <c r="AH273" s="42">
        <f t="shared" si="103"/>
        <v>1107.0999999999999</v>
      </c>
      <c r="AI273" s="41">
        <v>1094</v>
      </c>
      <c r="AJ273" s="40">
        <v>1110</v>
      </c>
      <c r="AK273" s="49">
        <f>1491.3-500</f>
        <v>991.3</v>
      </c>
      <c r="AL273" s="39">
        <f t="shared" si="106"/>
        <v>991.3</v>
      </c>
      <c r="AM273" s="49"/>
      <c r="AN273" s="49">
        <f t="shared" si="107"/>
        <v>991.3</v>
      </c>
      <c r="AO273" s="49">
        <f>2883.5/3</f>
        <v>961.16666666666663</v>
      </c>
    </row>
    <row r="274" spans="1:41" s="18" customFormat="1" ht="20.399999999999999" x14ac:dyDescent="0.25">
      <c r="A274" s="46">
        <v>83120</v>
      </c>
      <c r="B274" s="45" t="s">
        <v>33</v>
      </c>
      <c r="C274" s="43">
        <v>20674.599999999999</v>
      </c>
      <c r="D274" s="43">
        <f t="shared" si="94"/>
        <v>1722.8833333333332</v>
      </c>
      <c r="E274" s="43">
        <v>695.4</v>
      </c>
      <c r="F274" s="43">
        <v>601.5</v>
      </c>
      <c r="G274" s="43">
        <f t="shared" si="95"/>
        <v>4817.1818000000003</v>
      </c>
      <c r="H274" s="44">
        <f t="shared" si="96"/>
        <v>7.1469052687818885E-3</v>
      </c>
      <c r="I274" s="43">
        <v>1707.2</v>
      </c>
      <c r="J274" s="43"/>
      <c r="K274" s="43"/>
      <c r="L274" s="43">
        <f t="shared" si="104"/>
        <v>1707.2</v>
      </c>
      <c r="M274" s="43">
        <v>807.4</v>
      </c>
      <c r="N274" s="43">
        <f t="shared" si="98"/>
        <v>-899.80000000000007</v>
      </c>
      <c r="O274" s="43">
        <f t="shared" si="108"/>
        <v>47.293814432989691</v>
      </c>
      <c r="P274" s="43">
        <v>6109</v>
      </c>
      <c r="Q274" s="44">
        <f t="shared" si="100"/>
        <v>2.4924896765373863E-2</v>
      </c>
      <c r="R274" s="43">
        <f>6201897*Q274/100</f>
        <v>1545.8164247448187</v>
      </c>
      <c r="S274" s="43"/>
      <c r="T274" s="43"/>
      <c r="U274" s="43"/>
      <c r="V274" s="43"/>
      <c r="W274" s="43"/>
      <c r="X274" s="43">
        <f t="shared" si="101"/>
        <v>1545.8164247448187</v>
      </c>
      <c r="Y274" s="43">
        <v>495.3</v>
      </c>
      <c r="Z274" s="43">
        <f t="shared" si="105"/>
        <v>495.3</v>
      </c>
      <c r="AA274" s="43"/>
      <c r="AB274" s="43">
        <v>400</v>
      </c>
      <c r="AC274" s="43"/>
      <c r="AD274" s="43">
        <f t="shared" si="102"/>
        <v>895.3</v>
      </c>
      <c r="AE274" s="43">
        <v>685.7</v>
      </c>
      <c r="AF274" s="43"/>
      <c r="AG274" s="43"/>
      <c r="AH274" s="42">
        <f t="shared" si="103"/>
        <v>685.7</v>
      </c>
      <c r="AI274" s="41">
        <f>685.7+30</f>
        <v>715.7</v>
      </c>
      <c r="AJ274" s="40">
        <v>1340</v>
      </c>
      <c r="AK274" s="49">
        <f>2800-1500-500</f>
        <v>800</v>
      </c>
      <c r="AL274" s="39">
        <f t="shared" si="106"/>
        <v>800</v>
      </c>
      <c r="AM274" s="49"/>
      <c r="AN274" s="49">
        <f t="shared" si="107"/>
        <v>800</v>
      </c>
      <c r="AO274" s="49">
        <f>3276.8/3</f>
        <v>1092.2666666666667</v>
      </c>
    </row>
    <row r="275" spans="1:41" s="18" customFormat="1" ht="13.2" x14ac:dyDescent="0.25">
      <c r="A275" s="46">
        <v>84120</v>
      </c>
      <c r="B275" s="45" t="s">
        <v>32</v>
      </c>
      <c r="C275" s="43">
        <v>481.2</v>
      </c>
      <c r="D275" s="43">
        <f t="shared" si="94"/>
        <v>40.1</v>
      </c>
      <c r="E275" s="43"/>
      <c r="F275" s="43"/>
      <c r="G275" s="43">
        <f t="shared" si="95"/>
        <v>112.11960000000001</v>
      </c>
      <c r="H275" s="44">
        <f t="shared" si="96"/>
        <v>0</v>
      </c>
      <c r="I275" s="43">
        <f>7990664.7*H275/100+40.1</f>
        <v>40.1</v>
      </c>
      <c r="J275" s="43"/>
      <c r="K275" s="43"/>
      <c r="L275" s="43">
        <f t="shared" si="104"/>
        <v>40.1</v>
      </c>
      <c r="M275" s="43">
        <v>0</v>
      </c>
      <c r="N275" s="43">
        <f t="shared" si="98"/>
        <v>-40.1</v>
      </c>
      <c r="O275" s="43">
        <f t="shared" si="108"/>
        <v>0</v>
      </c>
      <c r="P275" s="43">
        <v>144.80000000000001</v>
      </c>
      <c r="Q275" s="44">
        <f t="shared" si="100"/>
        <v>5.9078818982257917E-4</v>
      </c>
      <c r="R275" s="43">
        <f>6201897*Q275/100</f>
        <v>36.640075020960843</v>
      </c>
      <c r="S275" s="43"/>
      <c r="T275" s="43"/>
      <c r="U275" s="43"/>
      <c r="V275" s="43"/>
      <c r="W275" s="43"/>
      <c r="X275" s="43">
        <f t="shared" si="101"/>
        <v>36.640075020960843</v>
      </c>
      <c r="Y275" s="43"/>
      <c r="Z275" s="43">
        <v>189.1</v>
      </c>
      <c r="AA275" s="43"/>
      <c r="AB275" s="43"/>
      <c r="AC275" s="43"/>
      <c r="AD275" s="43">
        <f t="shared" si="102"/>
        <v>189.1</v>
      </c>
      <c r="AE275" s="43"/>
      <c r="AF275" s="43"/>
      <c r="AG275" s="43"/>
      <c r="AH275" s="42">
        <f t="shared" si="103"/>
        <v>0</v>
      </c>
      <c r="AI275" s="41">
        <v>51.1</v>
      </c>
      <c r="AJ275" s="40">
        <v>60.1</v>
      </c>
      <c r="AK275" s="49">
        <v>60.1</v>
      </c>
      <c r="AL275" s="39">
        <f t="shared" si="106"/>
        <v>60.1</v>
      </c>
      <c r="AM275" s="49"/>
      <c r="AN275" s="49">
        <f t="shared" si="107"/>
        <v>60.1</v>
      </c>
      <c r="AO275" s="49"/>
    </row>
    <row r="276" spans="1:41" s="18" customFormat="1" ht="12" customHeight="1" x14ac:dyDescent="0.25">
      <c r="A276" s="46">
        <v>85121</v>
      </c>
      <c r="B276" s="45" t="s">
        <v>31</v>
      </c>
      <c r="C276" s="43">
        <v>434397.9</v>
      </c>
      <c r="D276" s="43">
        <f t="shared" si="94"/>
        <v>36199.825000000004</v>
      </c>
      <c r="E276" s="43">
        <v>35090.1</v>
      </c>
      <c r="F276" s="43">
        <v>29084</v>
      </c>
      <c r="G276" s="43">
        <f t="shared" si="95"/>
        <v>101214.7107</v>
      </c>
      <c r="H276" s="44">
        <f t="shared" si="96"/>
        <v>0.35364809423188814</v>
      </c>
      <c r="I276" s="43">
        <v>25014.6</v>
      </c>
      <c r="J276" s="43"/>
      <c r="K276" s="43"/>
      <c r="L276" s="43">
        <f t="shared" si="104"/>
        <v>25014.6</v>
      </c>
      <c r="M276" s="43">
        <v>25014.6</v>
      </c>
      <c r="N276" s="43">
        <f t="shared" si="98"/>
        <v>0</v>
      </c>
      <c r="O276" s="43">
        <f t="shared" si="108"/>
        <v>100</v>
      </c>
      <c r="P276" s="43">
        <v>115137.40000000001</v>
      </c>
      <c r="Q276" s="44">
        <f t="shared" si="100"/>
        <v>0.4697639235281646</v>
      </c>
      <c r="R276" s="43">
        <f>6201897*Q276/100</f>
        <v>29134.274680375536</v>
      </c>
      <c r="S276" s="43"/>
      <c r="T276" s="43"/>
      <c r="U276" s="43"/>
      <c r="V276" s="43"/>
      <c r="W276" s="43"/>
      <c r="X276" s="43">
        <f t="shared" si="101"/>
        <v>29134.274680375536</v>
      </c>
      <c r="Y276" s="43">
        <v>36748.36</v>
      </c>
      <c r="Z276" s="43">
        <f t="shared" ref="Z276:Z281" si="109">Y276</f>
        <v>36748.36</v>
      </c>
      <c r="AA276" s="43"/>
      <c r="AB276" s="43"/>
      <c r="AC276" s="43"/>
      <c r="AD276" s="43">
        <f t="shared" si="102"/>
        <v>36748.36</v>
      </c>
      <c r="AE276" s="43">
        <f>47370.6-10000</f>
        <v>37370.6</v>
      </c>
      <c r="AF276" s="43"/>
      <c r="AG276" s="43"/>
      <c r="AH276" s="42">
        <f t="shared" si="103"/>
        <v>37370.6</v>
      </c>
      <c r="AI276" s="41">
        <f>3337.1+32701.9</f>
        <v>36039</v>
      </c>
      <c r="AJ276" s="40">
        <v>37039</v>
      </c>
      <c r="AK276" s="49">
        <f>63685.1-30000</f>
        <v>33685.1</v>
      </c>
      <c r="AL276" s="39">
        <f t="shared" si="106"/>
        <v>33685.1</v>
      </c>
      <c r="AM276" s="49"/>
      <c r="AN276" s="49">
        <f t="shared" si="107"/>
        <v>33685.1</v>
      </c>
      <c r="AO276" s="49">
        <f>112921.9/3</f>
        <v>37640.633333333331</v>
      </c>
    </row>
    <row r="277" spans="1:41" s="18" customFormat="1" ht="20.399999999999999" x14ac:dyDescent="0.25">
      <c r="A277" s="46">
        <v>85221</v>
      </c>
      <c r="B277" s="45" t="s">
        <v>30</v>
      </c>
      <c r="C277" s="43">
        <v>37490.9</v>
      </c>
      <c r="D277" s="43">
        <f t="shared" si="94"/>
        <v>3124.2416666666668</v>
      </c>
      <c r="E277" s="43">
        <v>2913.1</v>
      </c>
      <c r="F277" s="43">
        <v>2843.2</v>
      </c>
      <c r="G277" s="43">
        <f t="shared" si="95"/>
        <v>8735.3797000000013</v>
      </c>
      <c r="H277" s="44">
        <f t="shared" si="96"/>
        <v>3.1721590561098911E-2</v>
      </c>
      <c r="I277" s="43">
        <v>2758.5</v>
      </c>
      <c r="J277" s="43"/>
      <c r="K277" s="43"/>
      <c r="L277" s="43">
        <f t="shared" si="104"/>
        <v>2758.5</v>
      </c>
      <c r="M277" s="43">
        <v>2758.5</v>
      </c>
      <c r="N277" s="43">
        <f t="shared" si="98"/>
        <v>0</v>
      </c>
      <c r="O277" s="43">
        <f t="shared" si="108"/>
        <v>100</v>
      </c>
      <c r="P277" s="43">
        <v>8846.9000000000015</v>
      </c>
      <c r="Q277" s="44">
        <f t="shared" si="100"/>
        <v>3.6095607987164199E-2</v>
      </c>
      <c r="R277" s="43">
        <f>6201897*Q277/100+300</f>
        <v>2538.6124288876968</v>
      </c>
      <c r="S277" s="43"/>
      <c r="T277" s="43"/>
      <c r="U277" s="43"/>
      <c r="V277" s="43"/>
      <c r="W277" s="43"/>
      <c r="X277" s="43">
        <f t="shared" si="101"/>
        <v>2538.6124288876968</v>
      </c>
      <c r="Y277" s="43">
        <v>1383.57</v>
      </c>
      <c r="Z277" s="43">
        <f t="shared" si="109"/>
        <v>1383.57</v>
      </c>
      <c r="AA277" s="43"/>
      <c r="AB277" s="43"/>
      <c r="AC277" s="43"/>
      <c r="AD277" s="43">
        <f t="shared" si="102"/>
        <v>1383.57</v>
      </c>
      <c r="AE277" s="43">
        <f>4491.4-1500</f>
        <v>2991.3999999999996</v>
      </c>
      <c r="AF277" s="43"/>
      <c r="AG277" s="43"/>
      <c r="AH277" s="42">
        <f t="shared" si="103"/>
        <v>2991.3999999999996</v>
      </c>
      <c r="AI277" s="41">
        <v>3083.9</v>
      </c>
      <c r="AJ277" s="40">
        <v>3028.7</v>
      </c>
      <c r="AK277" s="49">
        <f>5645.5-2000-1000</f>
        <v>2645.5</v>
      </c>
      <c r="AL277" s="39">
        <f t="shared" si="106"/>
        <v>2645.5</v>
      </c>
      <c r="AM277" s="49"/>
      <c r="AN277" s="49">
        <f t="shared" si="107"/>
        <v>2645.5</v>
      </c>
      <c r="AO277" s="49">
        <f>9509.9/3</f>
        <v>3169.9666666666667</v>
      </c>
    </row>
    <row r="278" spans="1:41" s="18" customFormat="1" ht="20.399999999999999" x14ac:dyDescent="0.25">
      <c r="A278" s="46">
        <v>85321</v>
      </c>
      <c r="B278" s="45" t="s">
        <v>29</v>
      </c>
      <c r="C278" s="43">
        <v>81332.7</v>
      </c>
      <c r="D278" s="43">
        <f t="shared" si="94"/>
        <v>6777.7249999999995</v>
      </c>
      <c r="E278" s="43">
        <v>6519.4</v>
      </c>
      <c r="F278" s="43">
        <v>4220</v>
      </c>
      <c r="G278" s="43">
        <f t="shared" si="95"/>
        <v>18950.519099999998</v>
      </c>
      <c r="H278" s="44">
        <f t="shared" si="96"/>
        <v>5.9182261117708537E-2</v>
      </c>
      <c r="I278" s="43">
        <v>7059.2</v>
      </c>
      <c r="J278" s="43"/>
      <c r="K278" s="43"/>
      <c r="L278" s="43">
        <f t="shared" si="104"/>
        <v>7059.2</v>
      </c>
      <c r="M278" s="43">
        <v>5250.5</v>
      </c>
      <c r="N278" s="43">
        <f t="shared" si="98"/>
        <v>-1808.6999999999998</v>
      </c>
      <c r="O278" s="43">
        <f t="shared" si="108"/>
        <v>74.378116500453302</v>
      </c>
      <c r="P278" s="43">
        <v>21198.200000000004</v>
      </c>
      <c r="Q278" s="44">
        <f t="shared" si="100"/>
        <v>8.6489269374979277E-2</v>
      </c>
      <c r="R278" s="43">
        <f>6201897*Q278/100</f>
        <v>5363.9754026887585</v>
      </c>
      <c r="S278" s="43"/>
      <c r="T278" s="43"/>
      <c r="U278" s="43"/>
      <c r="V278" s="43"/>
      <c r="W278" s="43"/>
      <c r="X278" s="43">
        <f t="shared" si="101"/>
        <v>5363.9754026887585</v>
      </c>
      <c r="Y278" s="43">
        <v>6809.43</v>
      </c>
      <c r="Z278" s="43">
        <f t="shared" si="109"/>
        <v>6809.43</v>
      </c>
      <c r="AA278" s="43"/>
      <c r="AB278" s="43"/>
      <c r="AC278" s="43"/>
      <c r="AD278" s="43">
        <f t="shared" si="102"/>
        <v>6809.43</v>
      </c>
      <c r="AE278" s="43">
        <v>6183.4</v>
      </c>
      <c r="AF278" s="43"/>
      <c r="AG278" s="43"/>
      <c r="AH278" s="42">
        <f t="shared" si="103"/>
        <v>6183.4</v>
      </c>
      <c r="AI278" s="41">
        <v>5990.3</v>
      </c>
      <c r="AJ278" s="40">
        <v>8917.2000000000007</v>
      </c>
      <c r="AK278" s="49">
        <f>5870.2-1000</f>
        <v>4870.2</v>
      </c>
      <c r="AL278" s="39">
        <f t="shared" si="106"/>
        <v>4870.2</v>
      </c>
      <c r="AM278" s="49"/>
      <c r="AN278" s="49">
        <f t="shared" si="107"/>
        <v>4870.2</v>
      </c>
      <c r="AO278" s="49">
        <f>19318.3/3</f>
        <v>6439.4333333333334</v>
      </c>
    </row>
    <row r="279" spans="1:41" s="18" customFormat="1" ht="13.2" x14ac:dyDescent="0.25">
      <c r="A279" s="46">
        <v>86120</v>
      </c>
      <c r="B279" s="45" t="s">
        <v>28</v>
      </c>
      <c r="C279" s="43">
        <v>10300</v>
      </c>
      <c r="D279" s="43">
        <f t="shared" si="94"/>
        <v>858.33333333333337</v>
      </c>
      <c r="E279" s="43">
        <v>496.3</v>
      </c>
      <c r="F279" s="43">
        <v>1658.1</v>
      </c>
      <c r="G279" s="43">
        <f t="shared" si="95"/>
        <v>2399.9</v>
      </c>
      <c r="H279" s="44">
        <f t="shared" si="96"/>
        <v>1.1872382381882721E-2</v>
      </c>
      <c r="I279" s="43">
        <v>3661.6</v>
      </c>
      <c r="J279" s="43"/>
      <c r="K279" s="43"/>
      <c r="L279" s="43">
        <f t="shared" si="104"/>
        <v>3661.6</v>
      </c>
      <c r="M279" s="43">
        <v>3626.99</v>
      </c>
      <c r="N279" s="43">
        <f t="shared" si="98"/>
        <v>-34.610000000000127</v>
      </c>
      <c r="O279" s="43">
        <f t="shared" si="108"/>
        <v>99.054784793532875</v>
      </c>
      <c r="P279" s="43">
        <v>4484</v>
      </c>
      <c r="Q279" s="44">
        <f t="shared" si="100"/>
        <v>1.8294849745610808E-2</v>
      </c>
      <c r="R279" s="43">
        <f>6201897*Q279/100+400</f>
        <v>1534.6277375275445</v>
      </c>
      <c r="S279" s="43"/>
      <c r="T279" s="43"/>
      <c r="U279" s="43"/>
      <c r="V279" s="43"/>
      <c r="W279" s="43"/>
      <c r="X279" s="43">
        <f t="shared" si="101"/>
        <v>1534.6277375275445</v>
      </c>
      <c r="Y279" s="43">
        <v>1081.33</v>
      </c>
      <c r="Z279" s="43">
        <f t="shared" si="109"/>
        <v>1081.33</v>
      </c>
      <c r="AA279" s="43"/>
      <c r="AB279" s="43"/>
      <c r="AC279" s="43"/>
      <c r="AD279" s="43">
        <f t="shared" si="102"/>
        <v>1081.33</v>
      </c>
      <c r="AE279" s="43">
        <f>3689.7-2000</f>
        <v>1689.6999999999998</v>
      </c>
      <c r="AF279" s="43"/>
      <c r="AG279" s="43"/>
      <c r="AH279" s="42">
        <f t="shared" si="103"/>
        <v>1689.6999999999998</v>
      </c>
      <c r="AI279" s="41">
        <v>860.3</v>
      </c>
      <c r="AJ279" s="40">
        <v>1191.5</v>
      </c>
      <c r="AK279" s="49"/>
      <c r="AL279" s="39">
        <f t="shared" si="106"/>
        <v>0</v>
      </c>
      <c r="AM279" s="49"/>
      <c r="AN279" s="49">
        <f t="shared" si="107"/>
        <v>0</v>
      </c>
      <c r="AO279" s="49"/>
    </row>
    <row r="280" spans="1:41" s="18" customFormat="1" ht="20.399999999999999" x14ac:dyDescent="0.25">
      <c r="A280" s="46">
        <v>87120</v>
      </c>
      <c r="B280" s="45" t="s">
        <v>27</v>
      </c>
      <c r="C280" s="43"/>
      <c r="D280" s="43"/>
      <c r="E280" s="43"/>
      <c r="F280" s="43"/>
      <c r="G280" s="43"/>
      <c r="H280" s="44"/>
      <c r="I280" s="43"/>
      <c r="J280" s="43"/>
      <c r="K280" s="43"/>
      <c r="L280" s="43">
        <v>4571.7</v>
      </c>
      <c r="M280" s="43">
        <v>4571.7</v>
      </c>
      <c r="N280" s="43">
        <f t="shared" si="98"/>
        <v>0</v>
      </c>
      <c r="O280" s="43">
        <f t="shared" si="108"/>
        <v>100</v>
      </c>
      <c r="P280" s="43">
        <v>3290.8</v>
      </c>
      <c r="Q280" s="44">
        <f t="shared" si="100"/>
        <v>1.3426559220083864E-2</v>
      </c>
      <c r="R280" s="43">
        <f>6201897*Q280/100</f>
        <v>832.70137347360446</v>
      </c>
      <c r="S280" s="43"/>
      <c r="T280" s="43">
        <v>1500</v>
      </c>
      <c r="U280" s="43"/>
      <c r="V280" s="43"/>
      <c r="W280" s="43"/>
      <c r="X280" s="43">
        <f t="shared" si="101"/>
        <v>2332.7013734736047</v>
      </c>
      <c r="Y280" s="43">
        <v>880.2</v>
      </c>
      <c r="Z280" s="43">
        <f t="shared" si="109"/>
        <v>880.2</v>
      </c>
      <c r="AA280" s="43"/>
      <c r="AB280" s="43"/>
      <c r="AC280" s="43">
        <v>2650</v>
      </c>
      <c r="AD280" s="43">
        <f t="shared" si="102"/>
        <v>3530.2</v>
      </c>
      <c r="AE280" s="43">
        <v>1362.8</v>
      </c>
      <c r="AF280" s="43"/>
      <c r="AG280" s="43"/>
      <c r="AH280" s="42">
        <f t="shared" si="103"/>
        <v>1362.8</v>
      </c>
      <c r="AI280" s="41">
        <f>2001.3+3748.1+537.1</f>
        <v>6286.5</v>
      </c>
      <c r="AJ280" s="40">
        <v>11825.300000000001</v>
      </c>
      <c r="AK280" s="49">
        <f>9762.3-7000</f>
        <v>2762.2999999999993</v>
      </c>
      <c r="AL280" s="39">
        <f t="shared" si="106"/>
        <v>2762.2999999999993</v>
      </c>
      <c r="AM280" s="49"/>
      <c r="AN280" s="49">
        <f t="shared" si="107"/>
        <v>2762.2999999999993</v>
      </c>
      <c r="AO280" s="49">
        <f>3852.4/3</f>
        <v>1284.1333333333334</v>
      </c>
    </row>
    <row r="281" spans="1:41" s="18" customFormat="1" ht="13.2" x14ac:dyDescent="0.25">
      <c r="A281" s="46">
        <v>88121</v>
      </c>
      <c r="B281" s="45" t="s">
        <v>26</v>
      </c>
      <c r="C281" s="43">
        <v>17046399</v>
      </c>
      <c r="D281" s="43">
        <f>C281/12</f>
        <v>1420533.25</v>
      </c>
      <c r="E281" s="43">
        <v>1420533.3</v>
      </c>
      <c r="F281" s="43">
        <v>1420533.3</v>
      </c>
      <c r="G281" s="43">
        <f>C281*23.3/100</f>
        <v>3971810.9669999997</v>
      </c>
      <c r="H281" s="44">
        <f>(E281+F281)/(8725103.2+9421212.6)*100</f>
        <v>15.65643754530052</v>
      </c>
      <c r="I281" s="43">
        <v>1471672.4</v>
      </c>
      <c r="J281" s="43"/>
      <c r="K281" s="43"/>
      <c r="L281" s="43">
        <f>SUM(I281:K281)</f>
        <v>1471672.4</v>
      </c>
      <c r="M281" s="43">
        <v>1471672.4</v>
      </c>
      <c r="N281" s="43">
        <f t="shared" si="98"/>
        <v>0</v>
      </c>
      <c r="O281" s="43">
        <f t="shared" si="108"/>
        <v>100</v>
      </c>
      <c r="P281" s="43">
        <v>4312738.9000000004</v>
      </c>
      <c r="Q281" s="44"/>
      <c r="R281" s="43">
        <f>P281/3</f>
        <v>1437579.6333333335</v>
      </c>
      <c r="S281" s="43"/>
      <c r="T281" s="43"/>
      <c r="U281" s="43"/>
      <c r="V281" s="43"/>
      <c r="W281" s="43"/>
      <c r="X281" s="43">
        <f t="shared" si="101"/>
        <v>1437579.6333333335</v>
      </c>
      <c r="Y281" s="43">
        <v>1437579.63</v>
      </c>
      <c r="Z281" s="43">
        <f t="shared" si="109"/>
        <v>1437579.63</v>
      </c>
      <c r="AA281" s="43"/>
      <c r="AB281" s="43"/>
      <c r="AC281" s="43"/>
      <c r="AD281" s="43">
        <f t="shared" si="102"/>
        <v>1437579.63</v>
      </c>
      <c r="AE281" s="43">
        <v>1045801.3</v>
      </c>
      <c r="AF281" s="43"/>
      <c r="AG281" s="43"/>
      <c r="AH281" s="42">
        <f t="shared" si="103"/>
        <v>1045801.3</v>
      </c>
      <c r="AI281" s="41">
        <v>1420579.6</v>
      </c>
      <c r="AJ281" s="40">
        <v>1437333</v>
      </c>
      <c r="AK281" s="49">
        <v>1454826.3</v>
      </c>
      <c r="AL281" s="39">
        <f t="shared" si="106"/>
        <v>1454826.3</v>
      </c>
      <c r="AM281" s="49"/>
      <c r="AN281" s="49">
        <f t="shared" si="107"/>
        <v>1454826.3</v>
      </c>
      <c r="AO281" s="49">
        <f>4108182.3/3</f>
        <v>1369394.0999999999</v>
      </c>
    </row>
    <row r="282" spans="1:41" s="18" customFormat="1" ht="13.2" x14ac:dyDescent="0.25">
      <c r="A282" s="38"/>
      <c r="B282" s="37" t="s">
        <v>25</v>
      </c>
      <c r="C282" s="35">
        <f>SUM(C66:C281)-C115</f>
        <v>125767448.50000003</v>
      </c>
      <c r="D282" s="35">
        <f>SUM(D66:D281)-D115</f>
        <v>10480620.70833333</v>
      </c>
      <c r="E282" s="35">
        <f>SUM(E66:E281)-E115</f>
        <v>8725103.2000000011</v>
      </c>
      <c r="F282" s="35">
        <f>SUM(F66:F281)-F115</f>
        <v>9421212.5999999978</v>
      </c>
      <c r="G282" s="35">
        <f>SUM(G66:G281)</f>
        <v>29303815.500500005</v>
      </c>
      <c r="H282" s="36">
        <f>SUM(H66:H281)</f>
        <v>100.00004131999997</v>
      </c>
      <c r="I282" s="35">
        <f>SUM(I66:I281)</f>
        <v>10452065.308823457</v>
      </c>
      <c r="J282" s="35">
        <f>SUM(J66:J281)</f>
        <v>1484780.3819590027</v>
      </c>
      <c r="K282" s="35">
        <f>SUM(K66:K281)</f>
        <v>109617.7</v>
      </c>
      <c r="L282" s="35">
        <f>SUM(L66:L281)-L115</f>
        <v>12059580.190782463</v>
      </c>
      <c r="M282" s="35">
        <f>SUM(M66:M281)</f>
        <v>11495272.538999995</v>
      </c>
      <c r="N282" s="35">
        <f>SUM(N66:N281)</f>
        <v>-564307.65178247145</v>
      </c>
      <c r="O282" s="35">
        <f t="shared" si="108"/>
        <v>95.320669187027036</v>
      </c>
      <c r="P282" s="35">
        <f t="shared" ref="P282:AL282" si="110">SUM(P66:P281)</f>
        <v>34036112.225000009</v>
      </c>
      <c r="Q282" s="36">
        <f t="shared" si="110"/>
        <v>100.00000010200066</v>
      </c>
      <c r="R282" s="35">
        <f t="shared" si="110"/>
        <v>9874674.7396593112</v>
      </c>
      <c r="S282" s="35">
        <f t="shared" si="110"/>
        <v>1358177.2736486478</v>
      </c>
      <c r="T282" s="35">
        <f t="shared" si="110"/>
        <v>511671.09529519541</v>
      </c>
      <c r="U282" s="35">
        <f t="shared" si="110"/>
        <v>1337216.6047048045</v>
      </c>
      <c r="V282" s="35">
        <f t="shared" si="110"/>
        <v>95223</v>
      </c>
      <c r="W282" s="35">
        <f t="shared" si="110"/>
        <v>8914.4</v>
      </c>
      <c r="X282" s="35">
        <f t="shared" si="110"/>
        <v>13185877.113307962</v>
      </c>
      <c r="Y282" s="35">
        <f t="shared" si="110"/>
        <v>7536470.3219999988</v>
      </c>
      <c r="Z282" s="35">
        <f t="shared" si="110"/>
        <v>9336831.6636666656</v>
      </c>
      <c r="AA282" s="35">
        <f t="shared" si="110"/>
        <v>592423.29700000014</v>
      </c>
      <c r="AB282" s="35">
        <f t="shared" si="110"/>
        <v>381888.9</v>
      </c>
      <c r="AC282" s="35">
        <f t="shared" si="110"/>
        <v>814799.3</v>
      </c>
      <c r="AD282" s="35">
        <f t="shared" si="110"/>
        <v>11125943.160666659</v>
      </c>
      <c r="AE282" s="35">
        <f t="shared" si="110"/>
        <v>9531148.9340000041</v>
      </c>
      <c r="AF282" s="35">
        <f t="shared" si="110"/>
        <v>1426221.9310000001</v>
      </c>
      <c r="AG282" s="35">
        <f t="shared" si="110"/>
        <v>459156</v>
      </c>
      <c r="AH282" s="35">
        <f t="shared" si="110"/>
        <v>11416526.864999996</v>
      </c>
      <c r="AI282" s="34">
        <f t="shared" si="110"/>
        <v>10495360.800000003</v>
      </c>
      <c r="AJ282" s="33">
        <f t="shared" si="110"/>
        <v>12409964.599999992</v>
      </c>
      <c r="AK282" s="33">
        <f t="shared" si="110"/>
        <v>9672621.7333187256</v>
      </c>
      <c r="AL282" s="32">
        <f t="shared" si="110"/>
        <v>9672621.7333187256</v>
      </c>
      <c r="AM282" s="33">
        <f>SUM(AM66:AM281)</f>
        <v>2261053</v>
      </c>
      <c r="AN282" s="33">
        <f>SUM(AN66:AN281)</f>
        <v>11933674.733318722</v>
      </c>
      <c r="AO282" s="113">
        <f>SUM(AO66:AO281)</f>
        <v>9515528.1680952404</v>
      </c>
    </row>
    <row r="283" spans="1:41" s="18" customFormat="1" ht="13.2" x14ac:dyDescent="0.25">
      <c r="A283" s="6"/>
      <c r="B283" s="7"/>
      <c r="C283" s="6"/>
      <c r="D283" s="6"/>
      <c r="E283" s="3"/>
      <c r="F283" s="3"/>
      <c r="G283" s="3"/>
      <c r="H283" s="3"/>
      <c r="I283" s="30" t="e">
        <f>#REF!-I282</f>
        <v>#REF!</v>
      </c>
      <c r="J283" s="3"/>
      <c r="K283" s="3"/>
      <c r="L283" s="3"/>
      <c r="M283" s="3"/>
      <c r="N283" s="3"/>
      <c r="O283" s="31" t="s">
        <v>24</v>
      </c>
      <c r="P283" s="30">
        <f>P282-P281-P115</f>
        <v>24509630.125000011</v>
      </c>
      <c r="Q283" s="29"/>
      <c r="R283" s="28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5"/>
      <c r="AD283" s="3"/>
      <c r="AE283" s="3"/>
      <c r="AF283" s="3"/>
      <c r="AG283" s="3"/>
      <c r="AH283" s="3"/>
      <c r="AI283" s="3"/>
      <c r="AJ283" s="4"/>
      <c r="AK283" s="4"/>
      <c r="AL283" s="24">
        <f>SUM(AL66:AL281)</f>
        <v>9672621.7333187256</v>
      </c>
      <c r="AM283" s="4"/>
      <c r="AN283" s="4"/>
    </row>
    <row r="284" spans="1:41" s="18" customFormat="1" ht="13.2" hidden="1" x14ac:dyDescent="0.25">
      <c r="A284" s="6"/>
      <c r="B284" s="7"/>
      <c r="C284" s="6"/>
      <c r="D284" s="6"/>
      <c r="E284" s="3"/>
      <c r="F284" s="3"/>
      <c r="G284" s="3"/>
      <c r="H284" s="3"/>
      <c r="I284" s="30"/>
      <c r="J284" s="3"/>
      <c r="K284" s="3"/>
      <c r="L284" s="3"/>
      <c r="M284" s="3"/>
      <c r="N284" s="3"/>
      <c r="O284" s="31"/>
      <c r="P284" s="30"/>
      <c r="Q284" s="29"/>
      <c r="R284" s="28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5"/>
      <c r="AD284" s="3"/>
      <c r="AE284" s="3"/>
      <c r="AF284" s="3"/>
      <c r="AG284" s="3"/>
      <c r="AH284" s="3"/>
      <c r="AI284" s="4"/>
      <c r="AJ284" s="4"/>
      <c r="AK284" s="4"/>
      <c r="AL284" s="19"/>
      <c r="AM284" s="4"/>
      <c r="AN284" s="4"/>
    </row>
    <row r="285" spans="1:41" s="18" customFormat="1" ht="13.2" x14ac:dyDescent="0.25">
      <c r="A285" s="6"/>
      <c r="B285" s="7"/>
      <c r="C285" s="6"/>
      <c r="D285" s="6"/>
      <c r="E285" s="3"/>
      <c r="F285" s="3"/>
      <c r="G285" s="3"/>
      <c r="H285" s="3"/>
      <c r="I285" s="30"/>
      <c r="J285" s="3"/>
      <c r="K285" s="3"/>
      <c r="L285" s="3"/>
      <c r="M285" s="3"/>
      <c r="N285" s="3"/>
      <c r="O285" s="31"/>
      <c r="P285" s="30"/>
      <c r="Q285" s="29"/>
      <c r="R285" s="28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5"/>
      <c r="AD285" s="3"/>
      <c r="AE285" s="3"/>
      <c r="AF285" s="3"/>
      <c r="AG285" s="3"/>
      <c r="AH285" s="3"/>
      <c r="AI285" s="4"/>
      <c r="AJ285" s="4"/>
      <c r="AK285" s="4"/>
      <c r="AL285" s="19"/>
      <c r="AM285" s="4"/>
      <c r="AN285" s="4"/>
      <c r="AO285" s="4"/>
    </row>
    <row r="286" spans="1:41" s="18" customFormat="1" ht="13.2" x14ac:dyDescent="0.25">
      <c r="A286" s="6"/>
      <c r="B286" s="7"/>
      <c r="C286" s="6"/>
      <c r="D286" s="6"/>
      <c r="E286" s="3"/>
      <c r="F286" s="3"/>
      <c r="G286" s="3"/>
      <c r="H286" s="3"/>
      <c r="I286" s="30"/>
      <c r="J286" s="3"/>
      <c r="K286" s="3"/>
      <c r="L286" s="3"/>
      <c r="M286" s="3"/>
      <c r="N286" s="3"/>
      <c r="O286" s="31"/>
      <c r="P286" s="30"/>
      <c r="Q286" s="29"/>
      <c r="R286" s="28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5"/>
      <c r="AD286" s="3"/>
      <c r="AE286" s="3"/>
      <c r="AF286" s="3"/>
      <c r="AG286" s="3"/>
      <c r="AH286" s="3"/>
      <c r="AI286" s="4"/>
      <c r="AJ286" s="4"/>
      <c r="AK286" s="4"/>
      <c r="AL286" s="19"/>
      <c r="AM286" s="4"/>
      <c r="AN286" s="4"/>
      <c r="AO286" s="4"/>
    </row>
    <row r="287" spans="1:41" s="18" customFormat="1" ht="13.2" x14ac:dyDescent="0.25">
      <c r="A287" s="6"/>
      <c r="B287" s="7"/>
      <c r="C287" s="6"/>
      <c r="D287" s="6"/>
      <c r="E287" s="3"/>
      <c r="F287" s="3"/>
      <c r="G287" s="3"/>
      <c r="H287" s="3"/>
      <c r="I287" s="30"/>
      <c r="J287" s="3"/>
      <c r="K287" s="3"/>
      <c r="L287" s="3"/>
      <c r="M287" s="3"/>
      <c r="N287" s="3"/>
      <c r="O287" s="31"/>
      <c r="P287" s="30"/>
      <c r="Q287" s="29"/>
      <c r="R287" s="28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5"/>
      <c r="AD287" s="3"/>
      <c r="AE287" s="3"/>
      <c r="AF287" s="3"/>
      <c r="AG287" s="3"/>
      <c r="AH287" s="3"/>
      <c r="AI287" s="4"/>
      <c r="AJ287" s="4"/>
      <c r="AK287" s="4"/>
      <c r="AL287" s="19"/>
      <c r="AM287" s="4"/>
      <c r="AN287" s="4"/>
      <c r="AO287" s="4"/>
    </row>
    <row r="288" spans="1:41" s="18" customFormat="1" ht="13.2" x14ac:dyDescent="0.25">
      <c r="A288" s="6"/>
      <c r="B288" s="7"/>
      <c r="C288" s="6"/>
      <c r="D288" s="6"/>
      <c r="E288" s="3"/>
      <c r="F288" s="3"/>
      <c r="G288" s="3"/>
      <c r="H288" s="3"/>
      <c r="I288" s="30"/>
      <c r="J288" s="3"/>
      <c r="K288" s="3"/>
      <c r="L288" s="3"/>
      <c r="M288" s="3"/>
      <c r="N288" s="3"/>
      <c r="O288" s="31"/>
      <c r="P288" s="30"/>
      <c r="Q288" s="29"/>
      <c r="R288" s="28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5"/>
      <c r="AD288" s="3"/>
      <c r="AE288" s="3"/>
      <c r="AF288" s="3"/>
      <c r="AG288" s="3"/>
      <c r="AH288" s="3"/>
      <c r="AI288" s="4"/>
      <c r="AJ288" s="4"/>
      <c r="AK288" s="4"/>
      <c r="AL288" s="19"/>
      <c r="AM288" s="4"/>
      <c r="AN288" s="4"/>
      <c r="AO288" s="4"/>
    </row>
    <row r="289" spans="1:41" s="18" customFormat="1" ht="13.2" x14ac:dyDescent="0.25">
      <c r="A289" s="6"/>
      <c r="B289" s="7"/>
      <c r="C289" s="6"/>
      <c r="D289" s="6"/>
      <c r="E289" s="3"/>
      <c r="F289" s="3"/>
      <c r="G289" s="3"/>
      <c r="H289" s="3"/>
      <c r="I289" s="30"/>
      <c r="J289" s="3"/>
      <c r="K289" s="3"/>
      <c r="L289" s="3"/>
      <c r="M289" s="3"/>
      <c r="N289" s="3"/>
      <c r="O289" s="31"/>
      <c r="P289" s="30"/>
      <c r="Q289" s="29"/>
      <c r="R289" s="28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5"/>
      <c r="AD289" s="3"/>
      <c r="AE289" s="3"/>
      <c r="AF289" s="3"/>
      <c r="AG289" s="3"/>
      <c r="AH289" s="3"/>
      <c r="AI289" s="4"/>
      <c r="AJ289" s="4"/>
      <c r="AK289" s="4"/>
      <c r="AL289" s="19"/>
      <c r="AM289" s="4"/>
      <c r="AN289" s="4"/>
      <c r="AO289" s="4"/>
    </row>
    <row r="290" spans="1:41" s="18" customFormat="1" ht="13.2" x14ac:dyDescent="0.25">
      <c r="A290" s="26"/>
      <c r="B290" s="27"/>
      <c r="C290" s="26"/>
      <c r="D290" s="26"/>
      <c r="E290" s="20"/>
      <c r="F290" s="20"/>
      <c r="G290" s="20"/>
      <c r="H290" s="20"/>
      <c r="I290" s="24"/>
      <c r="J290" s="20"/>
      <c r="K290" s="20"/>
      <c r="L290" s="20"/>
      <c r="M290" s="20"/>
      <c r="N290" s="20"/>
      <c r="O290" s="25"/>
      <c r="P290" s="24"/>
      <c r="Q290" s="23"/>
      <c r="R290" s="22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1"/>
      <c r="AD290" s="20"/>
      <c r="AE290" s="20"/>
      <c r="AF290" s="20"/>
      <c r="AG290" s="20"/>
      <c r="AH290" s="20"/>
      <c r="AI290" s="19"/>
      <c r="AJ290" s="19"/>
      <c r="AK290" s="4"/>
      <c r="AL290" s="19"/>
      <c r="AM290" s="4"/>
      <c r="AN290" s="4"/>
      <c r="AO290" s="4"/>
    </row>
    <row r="291" spans="1:41" s="18" customFormat="1" ht="13.2" x14ac:dyDescent="0.25">
      <c r="A291" s="6"/>
      <c r="B291" s="7"/>
      <c r="C291" s="6"/>
      <c r="D291" s="6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5"/>
      <c r="AD291" s="3"/>
      <c r="AE291" s="3"/>
      <c r="AF291" s="3"/>
      <c r="AG291" s="3"/>
      <c r="AH291" s="3"/>
      <c r="AI291" s="3"/>
      <c r="AJ291" s="2"/>
      <c r="AK291" s="4"/>
      <c r="AL291" s="19"/>
      <c r="AM291" s="4"/>
      <c r="AN291" s="4"/>
      <c r="AO291" s="4"/>
    </row>
    <row r="292" spans="1:41" s="2" customFormat="1" ht="20.399999999999999" x14ac:dyDescent="0.2">
      <c r="A292" s="6"/>
      <c r="B292" s="142" t="s">
        <v>23</v>
      </c>
      <c r="C292" s="142"/>
      <c r="D292" s="142"/>
      <c r="E292" s="104" t="s">
        <v>22</v>
      </c>
      <c r="F292" s="104" t="s">
        <v>21</v>
      </c>
      <c r="G292" s="104" t="s">
        <v>20</v>
      </c>
      <c r="H292" s="15"/>
      <c r="I292" s="15"/>
      <c r="J292" s="104" t="s">
        <v>19</v>
      </c>
      <c r="K292" s="104" t="s">
        <v>19</v>
      </c>
      <c r="L292" s="104" t="s">
        <v>18</v>
      </c>
      <c r="M292" s="104" t="s">
        <v>17</v>
      </c>
      <c r="N292" s="104"/>
      <c r="O292" s="104"/>
      <c r="P292" s="104"/>
      <c r="Q292" s="15"/>
      <c r="R292" s="104" t="s">
        <v>16</v>
      </c>
      <c r="S292" s="104" t="s">
        <v>16</v>
      </c>
      <c r="T292" s="104" t="s">
        <v>16</v>
      </c>
      <c r="U292" s="104" t="s">
        <v>16</v>
      </c>
      <c r="V292" s="104" t="s">
        <v>16</v>
      </c>
      <c r="W292" s="104" t="s">
        <v>16</v>
      </c>
      <c r="X292" s="104" t="s">
        <v>15</v>
      </c>
      <c r="Y292" s="17"/>
      <c r="Z292" s="104" t="s">
        <v>14</v>
      </c>
      <c r="AA292" s="104" t="s">
        <v>14</v>
      </c>
      <c r="AB292" s="104" t="s">
        <v>14</v>
      </c>
      <c r="AC292" s="104" t="s">
        <v>14</v>
      </c>
      <c r="AD292" s="104" t="s">
        <v>13</v>
      </c>
      <c r="AE292" s="104" t="s">
        <v>12</v>
      </c>
      <c r="AF292" s="104" t="s">
        <v>12</v>
      </c>
      <c r="AG292" s="104" t="s">
        <v>12</v>
      </c>
      <c r="AH292" s="104" t="s">
        <v>11</v>
      </c>
      <c r="AI292" s="104" t="s">
        <v>10</v>
      </c>
      <c r="AJ292" s="104" t="s">
        <v>329</v>
      </c>
      <c r="AK292" s="104" t="s">
        <v>330</v>
      </c>
      <c r="AL292" s="104" t="s">
        <v>330</v>
      </c>
      <c r="AM292" s="104" t="s">
        <v>330</v>
      </c>
      <c r="AN292" s="104" t="s">
        <v>330</v>
      </c>
      <c r="AO292" s="107" t="s">
        <v>358</v>
      </c>
    </row>
    <row r="293" spans="1:41" s="2" customFormat="1" ht="10.199999999999999" x14ac:dyDescent="0.2">
      <c r="A293" s="6"/>
      <c r="B293" s="143" t="s">
        <v>9</v>
      </c>
      <c r="C293" s="143"/>
      <c r="D293" s="143"/>
      <c r="E293" s="13">
        <f>1451400+47400+103400+279700+2015000+4696600+49800+210000</f>
        <v>8853300</v>
      </c>
      <c r="F293" s="13">
        <f>-895000+47400+103400+279700+2015000+4696600+49800+210000</f>
        <v>6506900</v>
      </c>
      <c r="G293" s="13">
        <f>-2204600+47400+103400+279700+1740000+2232100+4547500+49800+210000</f>
        <v>7005300</v>
      </c>
      <c r="H293" s="15"/>
      <c r="I293" s="15"/>
      <c r="J293" s="13">
        <f>SUM(J294:J295)</f>
        <v>4543899.3911765432</v>
      </c>
      <c r="K293" s="13">
        <f>SUM(K294:K295)</f>
        <v>3059119.0092175407</v>
      </c>
      <c r="L293" s="13">
        <f>SUM(L294:L295)</f>
        <v>6636384.5092175361</v>
      </c>
      <c r="M293" s="13">
        <f>SUM(M294:M295)</f>
        <v>7317527.4610000048</v>
      </c>
      <c r="N293" s="13"/>
      <c r="O293" s="13"/>
      <c r="P293" s="13"/>
      <c r="Q293" s="15"/>
      <c r="R293" s="13">
        <f t="shared" ref="R293:X293" si="111">SUM(R294:R295)</f>
        <v>3644749.7213406935</v>
      </c>
      <c r="S293" s="13">
        <f t="shared" si="111"/>
        <v>3298822.4476920459</v>
      </c>
      <c r="T293" s="13">
        <f t="shared" si="111"/>
        <v>3404171.3523968505</v>
      </c>
      <c r="U293" s="13">
        <f t="shared" si="111"/>
        <v>1149934.7476920458</v>
      </c>
      <c r="V293" s="13">
        <f t="shared" si="111"/>
        <v>1054711.7476920458</v>
      </c>
      <c r="W293" s="13">
        <f t="shared" si="111"/>
        <v>1045797.3476920454</v>
      </c>
      <c r="X293" s="13">
        <f t="shared" si="111"/>
        <v>2944200</v>
      </c>
      <c r="Y293" s="14"/>
      <c r="Z293" s="13">
        <f t="shared" ref="Z293:AI293" si="112">SUM(Z294:Z295)</f>
        <v>2944200.0363333337</v>
      </c>
      <c r="AA293" s="13">
        <f t="shared" si="112"/>
        <v>2351776.7393333334</v>
      </c>
      <c r="AB293" s="13">
        <f t="shared" si="112"/>
        <v>1969887.8393333335</v>
      </c>
      <c r="AC293" s="13">
        <f t="shared" si="112"/>
        <v>1155088.5393333333</v>
      </c>
      <c r="AD293" s="13">
        <f t="shared" si="112"/>
        <v>2267300</v>
      </c>
      <c r="AE293" s="13">
        <f t="shared" si="112"/>
        <v>2863236.8659999948</v>
      </c>
      <c r="AF293" s="13">
        <f t="shared" si="112"/>
        <v>1494606.2349999947</v>
      </c>
      <c r="AG293" s="13">
        <f t="shared" si="112"/>
        <v>-516584.76500000525</v>
      </c>
      <c r="AH293" s="13">
        <f t="shared" si="112"/>
        <v>2111000</v>
      </c>
      <c r="AI293" s="13">
        <f t="shared" si="112"/>
        <v>3620400</v>
      </c>
      <c r="AJ293" s="12">
        <f t="shared" ref="AJ293:AN293" si="113">AJ294+AJ295</f>
        <v>1905200</v>
      </c>
      <c r="AK293" s="98">
        <f t="shared" si="113"/>
        <v>2068845.866681274</v>
      </c>
      <c r="AL293" s="12">
        <f t="shared" si="113"/>
        <v>3535545.866681274</v>
      </c>
      <c r="AM293" s="98">
        <f t="shared" si="113"/>
        <v>268452.96668127412</v>
      </c>
      <c r="AN293" s="98">
        <f t="shared" si="113"/>
        <v>268452.96668127924</v>
      </c>
      <c r="AO293" s="98">
        <f>AO294+AO295</f>
        <v>5324663.8985860385</v>
      </c>
    </row>
    <row r="294" spans="1:41" s="2" customFormat="1" ht="10.199999999999999" x14ac:dyDescent="0.2">
      <c r="A294" s="6"/>
      <c r="B294" s="141" t="s">
        <v>8</v>
      </c>
      <c r="C294" s="141"/>
      <c r="D294" s="141"/>
      <c r="E294" s="13">
        <v>1451400</v>
      </c>
      <c r="F294" s="13">
        <v>-895000</v>
      </c>
      <c r="G294" s="13">
        <v>-2204600</v>
      </c>
      <c r="H294" s="15"/>
      <c r="I294" s="15"/>
      <c r="J294" s="13">
        <f>G294+I17-I282</f>
        <v>-4666000.6088234568</v>
      </c>
      <c r="K294" s="13">
        <f>J294-J282</f>
        <v>-6150780.9907824593</v>
      </c>
      <c r="L294" s="13">
        <f>-2204600+L17-L282</f>
        <v>-2573515.4907824639</v>
      </c>
      <c r="M294" s="13">
        <f>-2169800+M17-M282</f>
        <v>-1892372.5389999952</v>
      </c>
      <c r="N294" s="13"/>
      <c r="O294" s="13"/>
      <c r="P294" s="13"/>
      <c r="Q294" s="15"/>
      <c r="R294" s="13">
        <f>M294+R17-R282</f>
        <v>-5565150.2786593065</v>
      </c>
      <c r="S294" s="13">
        <f>R294+S17-S282</f>
        <v>-5911077.5523079541</v>
      </c>
      <c r="T294" s="13">
        <f>S294+T17-T282</f>
        <v>-5805728.6476031495</v>
      </c>
      <c r="U294" s="13">
        <f>T294+U17-U282</f>
        <v>-8059965.2523079542</v>
      </c>
      <c r="V294" s="13">
        <f>U294+V17-V282</f>
        <v>-8155188.2523079542</v>
      </c>
      <c r="W294" s="13">
        <f>V294+W17-W282</f>
        <v>-8164102.6523079546</v>
      </c>
      <c r="X294" s="13">
        <f>10764100-9209900+8395500-16215400</f>
        <v>-6265700</v>
      </c>
      <c r="Y294" s="14"/>
      <c r="Z294" s="13">
        <f>X294+Z17-Z282+AD296</f>
        <v>-2156599.9636666663</v>
      </c>
      <c r="AA294" s="13">
        <f>Z294+AA17-AA282</f>
        <v>-2749023.2606666666</v>
      </c>
      <c r="AB294" s="13">
        <f>AA294+AB17-AB282</f>
        <v>-3130912.1606666665</v>
      </c>
      <c r="AC294" s="13">
        <f>AB294+AC17-AC282</f>
        <v>-3945711.4606666667</v>
      </c>
      <c r="AD294" s="13">
        <f>5728100-AD295+10047400-13508200</f>
        <v>-2556100</v>
      </c>
      <c r="AE294" s="13">
        <f>AD294+AE17-AE282</f>
        <v>-1960163.1340000052</v>
      </c>
      <c r="AF294" s="13">
        <f>AE294+AF17-AF282-(AF295-AE295)</f>
        <v>-4323893.7650000053</v>
      </c>
      <c r="AG294" s="13">
        <f>AF294+AG17-AG282</f>
        <v>-6335084.7650000053</v>
      </c>
      <c r="AH294" s="13">
        <v>-3707500</v>
      </c>
      <c r="AI294" s="13">
        <f>1533300+2087100-AI295</f>
        <v>-2098100</v>
      </c>
      <c r="AJ294" s="12">
        <f>6848100+9689500-14632400-AJ295</f>
        <v>-1470700</v>
      </c>
      <c r="AK294" s="98">
        <f>AJ294+AK17-AK282</f>
        <v>-1307054.133318726</v>
      </c>
      <c r="AL294" s="12">
        <f>AJ294+AL17-AL282</f>
        <v>-1307054.133318726</v>
      </c>
      <c r="AM294" s="98">
        <f>AK294+AM17-AM282</f>
        <v>-3107447.0333187259</v>
      </c>
      <c r="AN294" s="98">
        <f>AJ294+AN17-AN282</f>
        <v>-3107447.0333187208</v>
      </c>
      <c r="AO294" s="98">
        <f>AN294+AO17-AO282</f>
        <v>1948763.8985860385</v>
      </c>
    </row>
    <row r="295" spans="1:41" s="2" customFormat="1" ht="10.199999999999999" x14ac:dyDescent="0.2">
      <c r="A295" s="6"/>
      <c r="B295" s="141" t="s">
        <v>7</v>
      </c>
      <c r="C295" s="141"/>
      <c r="D295" s="141"/>
      <c r="E295" s="13">
        <f>E293-E294</f>
        <v>7401900</v>
      </c>
      <c r="F295" s="13">
        <f>F293-F294</f>
        <v>7401900</v>
      </c>
      <c r="G295" s="13">
        <f>G293-G294</f>
        <v>9209900</v>
      </c>
      <c r="H295" s="15"/>
      <c r="I295" s="15"/>
      <c r="J295" s="13">
        <v>9209900</v>
      </c>
      <c r="K295" s="13">
        <f>J295</f>
        <v>9209900</v>
      </c>
      <c r="L295" s="13">
        <v>9209900</v>
      </c>
      <c r="M295" s="13">
        <v>9209900</v>
      </c>
      <c r="N295" s="13"/>
      <c r="O295" s="13"/>
      <c r="P295" s="13"/>
      <c r="Q295" s="15"/>
      <c r="R295" s="13">
        <f>M295</f>
        <v>9209900</v>
      </c>
      <c r="S295" s="13">
        <f>R295</f>
        <v>9209900</v>
      </c>
      <c r="T295" s="13">
        <f>S295</f>
        <v>9209900</v>
      </c>
      <c r="U295" s="13">
        <f>T295</f>
        <v>9209900</v>
      </c>
      <c r="V295" s="13">
        <f>U295</f>
        <v>9209900</v>
      </c>
      <c r="W295" s="13">
        <f>V295</f>
        <v>9209900</v>
      </c>
      <c r="X295" s="13">
        <f>M295</f>
        <v>9209900</v>
      </c>
      <c r="Y295" s="14"/>
      <c r="Z295" s="13">
        <f>X295-AD296</f>
        <v>5100800</v>
      </c>
      <c r="AA295" s="13">
        <f>Z295</f>
        <v>5100800</v>
      </c>
      <c r="AB295" s="13">
        <f>AA295</f>
        <v>5100800</v>
      </c>
      <c r="AC295" s="13">
        <f>AB295</f>
        <v>5100800</v>
      </c>
      <c r="AD295" s="13">
        <f>X295-AD296-277400</f>
        <v>4823400</v>
      </c>
      <c r="AE295" s="13">
        <f>AD295</f>
        <v>4823400</v>
      </c>
      <c r="AF295" s="13">
        <v>5818500</v>
      </c>
      <c r="AG295" s="13">
        <v>5818500</v>
      </c>
      <c r="AH295" s="13">
        <f>AF295</f>
        <v>5818500</v>
      </c>
      <c r="AI295" s="13">
        <f>5818500-100000</f>
        <v>5718500</v>
      </c>
      <c r="AJ295" s="13">
        <v>3375900</v>
      </c>
      <c r="AK295" s="98">
        <v>3375900</v>
      </c>
      <c r="AL295" s="12">
        <f>5718500-875900</f>
        <v>4842600</v>
      </c>
      <c r="AM295" s="98">
        <v>3375900</v>
      </c>
      <c r="AN295" s="98">
        <v>3375900</v>
      </c>
      <c r="AO295" s="98">
        <v>3375900</v>
      </c>
    </row>
    <row r="296" spans="1:41" s="2" customFormat="1" ht="10.199999999999999" x14ac:dyDescent="0.2">
      <c r="A296" s="6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3"/>
      <c r="Z296" s="3"/>
      <c r="AA296" s="3"/>
      <c r="AB296" s="3"/>
      <c r="AC296" s="5"/>
      <c r="AD296" s="11">
        <f>49800+210000+103400+63000+784000+1548700+1350200</f>
        <v>4109100</v>
      </c>
      <c r="AE296" s="3"/>
      <c r="AF296" s="3"/>
      <c r="AG296" s="3"/>
      <c r="AH296" s="3"/>
      <c r="AI296" s="3"/>
      <c r="AJ296" s="4"/>
      <c r="AK296" s="4"/>
    </row>
    <row r="297" spans="1:41" s="2" customFormat="1" ht="10.199999999999999" x14ac:dyDescent="0.2">
      <c r="A297" s="6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3"/>
      <c r="Z297" s="3"/>
      <c r="AA297" s="3"/>
      <c r="AB297" s="3"/>
      <c r="AC297" s="5"/>
      <c r="AD297" s="11"/>
      <c r="AE297" s="3"/>
      <c r="AF297" s="3"/>
      <c r="AG297" s="3"/>
      <c r="AH297" s="3"/>
      <c r="AI297" s="3"/>
      <c r="AJ297" s="4"/>
      <c r="AK297" s="4"/>
      <c r="AL297" s="4"/>
    </row>
    <row r="298" spans="1:41" s="2" customFormat="1" ht="10.199999999999999" x14ac:dyDescent="0.2">
      <c r="A298" s="6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3"/>
      <c r="Z298" s="3"/>
      <c r="AA298" s="3"/>
      <c r="AB298" s="3"/>
      <c r="AC298" s="5"/>
      <c r="AD298" s="11"/>
      <c r="AE298" s="3"/>
      <c r="AF298" s="3"/>
      <c r="AG298" s="3"/>
      <c r="AH298" s="3"/>
      <c r="AI298" s="3"/>
      <c r="AJ298" s="4"/>
      <c r="AK298" s="4"/>
      <c r="AL298" s="3"/>
    </row>
    <row r="299" spans="1:41" s="2" customFormat="1" ht="10.199999999999999" x14ac:dyDescent="0.2">
      <c r="A299" s="6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3"/>
      <c r="Z299" s="3"/>
      <c r="AA299" s="3"/>
      <c r="AB299" s="3"/>
      <c r="AC299" s="5"/>
      <c r="AD299" s="3"/>
      <c r="AE299" s="3"/>
      <c r="AF299" s="3"/>
      <c r="AG299" s="3"/>
      <c r="AH299" s="3"/>
      <c r="AI299" s="3"/>
      <c r="AJ299" s="4"/>
      <c r="AK299" s="4"/>
      <c r="AL299" s="3"/>
    </row>
    <row r="300" spans="1:41" s="2" customFormat="1" ht="10.199999999999999" x14ac:dyDescent="0.2">
      <c r="A300" s="6"/>
      <c r="AL300" s="3"/>
    </row>
    <row r="301" spans="1:41" s="2" customFormat="1" ht="10.199999999999999" x14ac:dyDescent="0.2">
      <c r="A301" s="6"/>
      <c r="AL301" s="3"/>
    </row>
    <row r="302" spans="1:41" s="2" customFormat="1" ht="12" hidden="1" customHeight="1" x14ac:dyDescent="0.2">
      <c r="A302" s="6"/>
      <c r="B302" s="9" t="s">
        <v>334</v>
      </c>
      <c r="C302" s="9"/>
      <c r="D302" s="9"/>
      <c r="E302" s="9"/>
      <c r="F302" s="7"/>
      <c r="AK302" s="4"/>
      <c r="AL302" s="3"/>
    </row>
    <row r="303" spans="1:41" s="2" customFormat="1" ht="12" hidden="1" customHeight="1" x14ac:dyDescent="0.2">
      <c r="A303" s="6"/>
      <c r="B303" s="9" t="s">
        <v>335</v>
      </c>
      <c r="C303" s="9"/>
      <c r="D303" s="9"/>
      <c r="E303" s="9"/>
      <c r="F303" s="7"/>
      <c r="AJ303" s="10" t="s">
        <v>336</v>
      </c>
      <c r="AK303" s="4"/>
      <c r="AL303" s="3"/>
    </row>
    <row r="304" spans="1:41" s="2" customFormat="1" ht="13.2" x14ac:dyDescent="0.25">
      <c r="A304" s="6"/>
      <c r="AJ304" s="19"/>
      <c r="AK304" s="4"/>
      <c r="AL304" s="3"/>
    </row>
    <row r="305" spans="1:38" s="2" customFormat="1" ht="12" customHeight="1" x14ac:dyDescent="0.2">
      <c r="A305" s="6"/>
      <c r="AK305" s="4"/>
      <c r="AL305" s="3"/>
    </row>
    <row r="306" spans="1:38" s="2" customFormat="1" ht="13.2" x14ac:dyDescent="0.25">
      <c r="A306" s="6"/>
      <c r="B306" s="9"/>
      <c r="AJ306" s="20"/>
      <c r="AK306" s="4"/>
      <c r="AL306" s="3"/>
    </row>
    <row r="307" spans="1:38" s="2" customFormat="1" ht="10.199999999999999" x14ac:dyDescent="0.2">
      <c r="AK307" s="4"/>
    </row>
    <row r="308" spans="1:38" s="2" customFormat="1" x14ac:dyDescent="0.3">
      <c r="A308" s="1"/>
      <c r="AK308" s="4"/>
    </row>
    <row r="309" spans="1:38" s="2" customFormat="1" ht="14.25" customHeight="1" x14ac:dyDescent="0.3">
      <c r="A309" s="1"/>
      <c r="AK309" s="102"/>
    </row>
    <row r="310" spans="1:38" ht="13.5" customHeight="1" x14ac:dyDescent="0.3"/>
    <row r="311" spans="1:38" ht="13.5" customHeight="1" x14ac:dyDescent="0.3"/>
    <row r="312" spans="1:38" ht="12.75" customHeight="1" x14ac:dyDescent="0.3">
      <c r="C312" s="108" t="s">
        <v>6</v>
      </c>
      <c r="D312" s="109"/>
      <c r="E312" s="109"/>
      <c r="F312" s="27"/>
      <c r="G312" s="27"/>
      <c r="H312" s="26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1"/>
      <c r="AD312" s="20"/>
      <c r="AE312" s="20"/>
      <c r="AF312" s="20"/>
      <c r="AG312" s="20"/>
      <c r="AH312" s="20"/>
      <c r="AI312" s="20"/>
    </row>
    <row r="313" spans="1:38" x14ac:dyDescent="0.3">
      <c r="C313" s="108" t="s">
        <v>5</v>
      </c>
      <c r="D313" s="109"/>
      <c r="E313" s="109"/>
      <c r="F313" s="27"/>
      <c r="G313" s="27"/>
      <c r="H313" s="26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7"/>
      <c r="Y313" s="27"/>
      <c r="Z313" s="27"/>
      <c r="AA313" s="27"/>
      <c r="AB313" s="27"/>
      <c r="AC313" s="27"/>
      <c r="AD313" s="27"/>
      <c r="AE313" s="20"/>
      <c r="AF313" s="20"/>
      <c r="AG313" s="20"/>
      <c r="AH313" s="2"/>
      <c r="AI313" s="110" t="s">
        <v>337</v>
      </c>
    </row>
    <row r="314" spans="1:38" x14ac:dyDescent="0.3">
      <c r="C314" s="109"/>
      <c r="D314" s="109"/>
      <c r="E314" s="109"/>
      <c r="F314" s="27"/>
      <c r="G314" s="27"/>
      <c r="H314" s="26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7"/>
      <c r="Y314" s="27"/>
      <c r="Z314" s="27"/>
      <c r="AA314" s="27"/>
      <c r="AB314" s="27"/>
      <c r="AC314" s="27"/>
      <c r="AD314" s="27"/>
      <c r="AE314" s="20"/>
      <c r="AF314" s="20"/>
      <c r="AG314" s="20"/>
      <c r="AH314" s="2"/>
      <c r="AI314" s="20"/>
    </row>
    <row r="315" spans="1:38" x14ac:dyDescent="0.3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</row>
    <row r="316" spans="1:38" x14ac:dyDescent="0.3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</row>
    <row r="317" spans="1:38" x14ac:dyDescent="0.3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</row>
    <row r="318" spans="1:38" x14ac:dyDescent="0.3">
      <c r="B318" s="106"/>
      <c r="C318" s="108" t="s">
        <v>351</v>
      </c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I318" s="2"/>
    </row>
    <row r="319" spans="1:38" x14ac:dyDescent="0.3">
      <c r="B319" s="106"/>
      <c r="C319" s="108" t="s">
        <v>352</v>
      </c>
    </row>
    <row r="320" spans="1:38" x14ac:dyDescent="0.3">
      <c r="C320" s="108" t="s">
        <v>1</v>
      </c>
      <c r="AI320" s="110" t="s">
        <v>353</v>
      </c>
    </row>
    <row r="326" spans="2:2" x14ac:dyDescent="0.3">
      <c r="B326" s="106"/>
    </row>
    <row r="327" spans="2:2" x14ac:dyDescent="0.3">
      <c r="B327" s="106"/>
    </row>
  </sheetData>
  <mergeCells count="8">
    <mergeCell ref="A12:AO12"/>
    <mergeCell ref="A13:AO13"/>
    <mergeCell ref="A14:AO14"/>
    <mergeCell ref="B294:D294"/>
    <mergeCell ref="B295:D295"/>
    <mergeCell ref="B64:H64"/>
    <mergeCell ref="B292:D292"/>
    <mergeCell ref="B293:D293"/>
  </mergeCells>
  <pageMargins left="0.27559055118110237" right="0.15748031496062992" top="0.23622047244094491" bottom="0.41" header="0.15748031496062992" footer="0.27"/>
  <pageSetup paperSize="9" scale="80" fitToHeight="0" orientation="landscape" r:id="rId1"/>
  <headerFooter>
    <oddFooter>&amp;R&amp;P</oddFooter>
  </headerFooter>
  <colBreaks count="1" manualBreakCount="1">
    <brk id="3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331"/>
  <sheetViews>
    <sheetView showZeros="0" topLeftCell="A303" zoomScale="130" zoomScaleNormal="130" workbookViewId="0">
      <selection activeCell="B332" sqref="B332"/>
    </sheetView>
  </sheetViews>
  <sheetFormatPr defaultColWidth="9.28515625" defaultRowHeight="15.6" x14ac:dyDescent="0.3"/>
  <cols>
    <col min="1" max="1" width="9.42578125" style="1" bestFit="1" customWidth="1"/>
    <col min="2" max="2" width="40.28515625" style="1" customWidth="1"/>
    <col min="3" max="3" width="15.28515625" style="1" customWidth="1"/>
    <col min="4" max="4" width="15.28515625" style="1" bestFit="1" customWidth="1"/>
    <col min="5" max="5" width="14.140625" style="1" customWidth="1"/>
    <col min="6" max="6" width="15.28515625" style="1" customWidth="1"/>
    <col min="7" max="9" width="15.28515625" style="1" hidden="1" customWidth="1"/>
    <col min="10" max="11" width="15" style="1" hidden="1" customWidth="1"/>
    <col min="12" max="12" width="15.28515625" style="1" hidden="1" customWidth="1"/>
    <col min="13" max="13" width="14.85546875" style="1" customWidth="1"/>
    <col min="14" max="14" width="15" style="1" hidden="1" customWidth="1"/>
    <col min="15" max="15" width="9.42578125" style="1" hidden="1" customWidth="1"/>
    <col min="16" max="16" width="15.28515625" style="1" hidden="1" customWidth="1"/>
    <col min="17" max="23" width="15" style="1" hidden="1" customWidth="1"/>
    <col min="24" max="24" width="14" style="1" customWidth="1"/>
    <col min="25" max="25" width="14" style="1" hidden="1" customWidth="1"/>
    <col min="26" max="29" width="15" style="1" hidden="1" customWidth="1"/>
    <col min="30" max="30" width="15" style="1" customWidth="1"/>
    <col min="31" max="31" width="15.28515625" style="1" hidden="1" customWidth="1"/>
    <col min="32" max="33" width="15" style="1" hidden="1" customWidth="1"/>
    <col min="34" max="34" width="15" style="1" customWidth="1"/>
    <col min="35" max="35" width="15.28515625" style="1" customWidth="1"/>
    <col min="36" max="36" width="14.28515625" style="1" customWidth="1"/>
    <col min="37" max="37" width="14.28515625" style="103" hidden="1" customWidth="1"/>
    <col min="38" max="38" width="14.28515625" style="1" hidden="1" customWidth="1"/>
    <col min="39" max="39" width="14.140625" style="1" hidden="1" customWidth="1"/>
    <col min="40" max="40" width="14.140625" style="1" customWidth="1"/>
    <col min="41" max="16384" width="9.28515625" style="1"/>
  </cols>
  <sheetData>
    <row r="1" spans="1:40" hidden="1" x14ac:dyDescent="0.3">
      <c r="AI1" s="1" t="s">
        <v>343</v>
      </c>
    </row>
    <row r="2" spans="1:40" ht="14.25" hidden="1" customHeight="1" x14ac:dyDescent="0.3">
      <c r="AI2" s="1" t="s">
        <v>344</v>
      </c>
    </row>
    <row r="3" spans="1:40" ht="10.5" customHeight="1" x14ac:dyDescent="0.3"/>
    <row r="4" spans="1:40" s="18" customFormat="1" ht="13.2" x14ac:dyDescent="0.25">
      <c r="A4" s="19"/>
      <c r="B4" s="19" t="s">
        <v>339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 t="s">
        <v>338</v>
      </c>
      <c r="AJ4" s="19"/>
      <c r="AK4" s="20"/>
    </row>
    <row r="5" spans="1:40" s="18" customFormat="1" ht="13.2" x14ac:dyDescent="0.25">
      <c r="A5" s="90"/>
      <c r="B5" s="20" t="s">
        <v>340</v>
      </c>
      <c r="C5" s="27"/>
      <c r="D5" s="27"/>
      <c r="E5" s="27"/>
      <c r="F5" s="27"/>
      <c r="G5" s="27"/>
      <c r="H5" s="26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1"/>
      <c r="AD5" s="20"/>
      <c r="AE5" s="20"/>
      <c r="AF5" s="20"/>
      <c r="AG5" s="20"/>
      <c r="AH5" s="89"/>
      <c r="AI5" s="20" t="s">
        <v>348</v>
      </c>
      <c r="AJ5" s="20"/>
      <c r="AK5" s="20"/>
      <c r="AL5" s="20"/>
    </row>
    <row r="6" spans="1:40" s="18" customFormat="1" ht="13.2" x14ac:dyDescent="0.25">
      <c r="A6" s="26"/>
      <c r="B6" s="20" t="s">
        <v>322</v>
      </c>
      <c r="C6" s="27"/>
      <c r="D6" s="27"/>
      <c r="E6" s="27"/>
      <c r="F6" s="27"/>
      <c r="G6" s="27"/>
      <c r="H6" s="26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1"/>
      <c r="AD6" s="20"/>
      <c r="AE6" s="20"/>
      <c r="AF6" s="20"/>
      <c r="AG6" s="20"/>
      <c r="AH6" s="89"/>
      <c r="AI6" s="20" t="s">
        <v>322</v>
      </c>
      <c r="AJ6" s="20"/>
      <c r="AK6" s="20"/>
      <c r="AL6" s="20"/>
    </row>
    <row r="7" spans="1:40" s="18" customFormat="1" ht="13.2" x14ac:dyDescent="0.25">
      <c r="A7" s="26"/>
      <c r="B7" s="89" t="s">
        <v>341</v>
      </c>
      <c r="C7" s="27"/>
      <c r="D7" s="27"/>
      <c r="E7" s="27"/>
      <c r="F7" s="27"/>
      <c r="G7" s="27"/>
      <c r="H7" s="26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1"/>
      <c r="AD7" s="89"/>
      <c r="AE7" s="89"/>
      <c r="AF7" s="89"/>
      <c r="AG7" s="89"/>
      <c r="AH7" s="89"/>
      <c r="AI7" s="89" t="s">
        <v>320</v>
      </c>
      <c r="AJ7" s="20"/>
      <c r="AK7" s="20"/>
      <c r="AL7" s="20"/>
    </row>
    <row r="8" spans="1:40" s="18" customFormat="1" ht="13.2" x14ac:dyDescent="0.25">
      <c r="A8" s="26"/>
      <c r="B8" s="20"/>
      <c r="C8" s="27"/>
      <c r="D8" s="27"/>
      <c r="E8" s="27"/>
      <c r="F8" s="27"/>
      <c r="G8" s="27"/>
      <c r="H8" s="26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1"/>
      <c r="AD8" s="20"/>
      <c r="AE8" s="20"/>
      <c r="AF8" s="20"/>
      <c r="AG8" s="20"/>
      <c r="AH8" s="89"/>
      <c r="AI8" s="20"/>
      <c r="AJ8" s="20"/>
      <c r="AK8" s="20"/>
      <c r="AL8" s="20"/>
    </row>
    <row r="9" spans="1:40" s="18" customFormat="1" ht="13.2" x14ac:dyDescent="0.25">
      <c r="A9" s="26"/>
      <c r="B9" s="20"/>
      <c r="C9" s="27"/>
      <c r="D9" s="27"/>
      <c r="E9" s="27"/>
      <c r="F9" s="27"/>
      <c r="G9" s="27"/>
      <c r="H9" s="26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1"/>
      <c r="AD9" s="20"/>
      <c r="AE9" s="20"/>
      <c r="AF9" s="20"/>
      <c r="AG9" s="20"/>
      <c r="AH9" s="89"/>
      <c r="AI9" s="20"/>
      <c r="AJ9" s="20"/>
      <c r="AK9" s="20"/>
      <c r="AL9" s="20"/>
    </row>
    <row r="10" spans="1:40" s="18" customFormat="1" ht="13.2" x14ac:dyDescent="0.25">
      <c r="A10" s="20"/>
      <c r="B10" s="21" t="s">
        <v>342</v>
      </c>
      <c r="C10" s="27"/>
      <c r="D10" s="27"/>
      <c r="E10" s="27"/>
      <c r="F10" s="27"/>
      <c r="G10" s="27"/>
      <c r="H10" s="26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1"/>
      <c r="AD10" s="21"/>
      <c r="AE10" s="20"/>
      <c r="AF10" s="20"/>
      <c r="AG10" s="20"/>
      <c r="AH10" s="89"/>
      <c r="AI10" s="21" t="s">
        <v>349</v>
      </c>
      <c r="AJ10" s="20"/>
      <c r="AK10" s="20"/>
      <c r="AL10" s="20"/>
    </row>
    <row r="11" spans="1:40" s="18" customFormat="1" ht="13.2" x14ac:dyDescent="0.25">
      <c r="A11" s="20"/>
      <c r="B11" s="20"/>
      <c r="C11" s="27"/>
      <c r="D11" s="27"/>
      <c r="E11" s="27"/>
      <c r="F11" s="27"/>
      <c r="G11" s="20"/>
      <c r="H11" s="26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1"/>
      <c r="AD11" s="20"/>
      <c r="AE11" s="20"/>
      <c r="AF11" s="20"/>
      <c r="AG11" s="20"/>
      <c r="AH11" s="89"/>
      <c r="AI11" s="89"/>
      <c r="AJ11" s="20"/>
      <c r="AK11" s="20"/>
      <c r="AL11" s="20"/>
    </row>
    <row r="12" spans="1:40" s="18" customFormat="1" ht="13.2" x14ac:dyDescent="0.25">
      <c r="A12" s="140" t="s">
        <v>319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</row>
    <row r="13" spans="1:40" s="18" customFormat="1" ht="13.2" x14ac:dyDescent="0.25">
      <c r="A13" s="140" t="s">
        <v>318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</row>
    <row r="14" spans="1:40" s="18" customFormat="1" ht="13.2" x14ac:dyDescent="0.25">
      <c r="A14" s="140" t="s">
        <v>331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</row>
    <row r="15" spans="1:40" ht="11.25" customHeight="1" x14ac:dyDescent="0.3">
      <c r="A15" s="83"/>
      <c r="B15" s="88"/>
      <c r="C15" s="88"/>
      <c r="D15" s="88"/>
      <c r="E15" s="88"/>
      <c r="F15" s="88"/>
      <c r="G15" s="88"/>
      <c r="H15" s="87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6"/>
      <c r="AD15" s="84"/>
      <c r="AE15" s="84"/>
      <c r="AF15" s="84"/>
      <c r="AG15" s="84"/>
      <c r="AI15" s="84"/>
      <c r="AJ15" s="85"/>
      <c r="AK15" s="1"/>
      <c r="AM15" s="18"/>
      <c r="AN15" s="86" t="s">
        <v>274</v>
      </c>
    </row>
    <row r="16" spans="1:40" ht="32.4" x14ac:dyDescent="0.3">
      <c r="A16" s="83"/>
      <c r="B16" s="82" t="s">
        <v>317</v>
      </c>
      <c r="C16" s="79" t="s">
        <v>271</v>
      </c>
      <c r="D16" s="79" t="s">
        <v>270</v>
      </c>
      <c r="E16" s="78" t="s">
        <v>269</v>
      </c>
      <c r="F16" s="78" t="s">
        <v>268</v>
      </c>
      <c r="G16" s="79" t="s">
        <v>316</v>
      </c>
      <c r="H16" s="81" t="s">
        <v>315</v>
      </c>
      <c r="I16" s="80" t="s">
        <v>314</v>
      </c>
      <c r="J16" s="80" t="s">
        <v>314</v>
      </c>
      <c r="K16" s="80" t="s">
        <v>314</v>
      </c>
      <c r="L16" s="79" t="s">
        <v>313</v>
      </c>
      <c r="M16" s="78" t="s">
        <v>263</v>
      </c>
      <c r="N16" s="79" t="s">
        <v>262</v>
      </c>
      <c r="O16" s="79" t="s">
        <v>261</v>
      </c>
      <c r="P16" s="79" t="s">
        <v>312</v>
      </c>
      <c r="Q16" s="79" t="s">
        <v>311</v>
      </c>
      <c r="R16" s="79" t="s">
        <v>258</v>
      </c>
      <c r="S16" s="79" t="s">
        <v>257</v>
      </c>
      <c r="T16" s="79" t="s">
        <v>256</v>
      </c>
      <c r="U16" s="79" t="s">
        <v>255</v>
      </c>
      <c r="V16" s="79" t="s">
        <v>254</v>
      </c>
      <c r="W16" s="79" t="s">
        <v>253</v>
      </c>
      <c r="X16" s="78" t="s">
        <v>252</v>
      </c>
      <c r="Y16" s="79"/>
      <c r="Z16" s="79" t="s">
        <v>250</v>
      </c>
      <c r="AA16" s="79" t="s">
        <v>249</v>
      </c>
      <c r="AB16" s="79" t="s">
        <v>248</v>
      </c>
      <c r="AC16" s="79" t="s">
        <v>247</v>
      </c>
      <c r="AD16" s="78" t="s">
        <v>246</v>
      </c>
      <c r="AE16" s="79" t="s">
        <v>245</v>
      </c>
      <c r="AF16" s="79" t="s">
        <v>244</v>
      </c>
      <c r="AG16" s="79" t="s">
        <v>244</v>
      </c>
      <c r="AH16" s="78" t="s">
        <v>243</v>
      </c>
      <c r="AI16" s="78" t="s">
        <v>310</v>
      </c>
      <c r="AJ16" s="78" t="s">
        <v>241</v>
      </c>
      <c r="AK16" s="78" t="s">
        <v>345</v>
      </c>
      <c r="AL16" s="78" t="s">
        <v>309</v>
      </c>
      <c r="AM16" s="78" t="s">
        <v>346</v>
      </c>
      <c r="AN16" s="78" t="s">
        <v>328</v>
      </c>
    </row>
    <row r="17" spans="1:40" s="2" customFormat="1" ht="10.199999999999999" x14ac:dyDescent="0.2">
      <c r="A17" s="3"/>
      <c r="B17" s="77" t="s">
        <v>308</v>
      </c>
      <c r="C17" s="76">
        <f>C18+C37+C38+C40+C50</f>
        <v>125767448.5</v>
      </c>
      <c r="D17" s="76">
        <f t="shared" ref="D17:D25" si="0">C17/12</f>
        <v>10480620.708333334</v>
      </c>
      <c r="E17" s="76">
        <f>E18+E37+E38+E40+E50</f>
        <v>6378770</v>
      </c>
      <c r="F17" s="76">
        <f>F18+F37+F38+F40+F50</f>
        <v>9919660</v>
      </c>
      <c r="G17" s="76">
        <f>G18+G37+G38+G40+G50</f>
        <v>7578500</v>
      </c>
      <c r="H17" s="76">
        <f>H18+H37+H38+H40+H50</f>
        <v>11424573</v>
      </c>
      <c r="I17" s="76">
        <f>I18+I37+I38+I40+I50</f>
        <v>7990664.7000000002</v>
      </c>
      <c r="J17" s="76"/>
      <c r="K17" s="76"/>
      <c r="L17" s="76">
        <f>L18+L37+L38+L40+L50</f>
        <v>11690664.699999999</v>
      </c>
      <c r="M17" s="76">
        <f>M18+M37+M38+M40+M50</f>
        <v>11772700</v>
      </c>
      <c r="N17" s="76">
        <f t="shared" ref="N17:N40" si="1">M17-L17</f>
        <v>82035.300000000745</v>
      </c>
      <c r="O17" s="76">
        <f t="shared" ref="O17:O22" si="2">M17/L17*100</f>
        <v>100.70171630189687</v>
      </c>
      <c r="P17" s="76">
        <f t="shared" ref="P17:U17" si="3">P18+P37+P38+P40+P50</f>
        <v>10914147</v>
      </c>
      <c r="Q17" s="76">
        <f t="shared" si="3"/>
        <v>-4712250</v>
      </c>
      <c r="R17" s="76">
        <f t="shared" si="3"/>
        <v>6201897</v>
      </c>
      <c r="S17" s="76">
        <f t="shared" si="3"/>
        <v>1012250</v>
      </c>
      <c r="T17" s="76">
        <f t="shared" si="3"/>
        <v>617020</v>
      </c>
      <c r="U17" s="76">
        <f t="shared" si="3"/>
        <v>-917020</v>
      </c>
      <c r="V17" s="76"/>
      <c r="W17" s="76"/>
      <c r="X17" s="76">
        <f>X18+X37+X38+X40+X50</f>
        <v>6914147</v>
      </c>
      <c r="Y17" s="76"/>
      <c r="Z17" s="76">
        <f>Z18+Z37+Z38+Z40+Z50</f>
        <v>9336831.6999999993</v>
      </c>
      <c r="AA17" s="76"/>
      <c r="AB17" s="76"/>
      <c r="AC17" s="76"/>
      <c r="AD17" s="76">
        <f t="shared" ref="AD17:AD22" si="4">SUM(Z17:AB17)</f>
        <v>9336831.6999999993</v>
      </c>
      <c r="AE17" s="76">
        <f t="shared" ref="AE17:AI17" si="5">AE18+AE37+AE38+AE40+AE50</f>
        <v>10127085.799999999</v>
      </c>
      <c r="AF17" s="76">
        <f t="shared" si="5"/>
        <v>57591.299999999974</v>
      </c>
      <c r="AG17" s="76">
        <f t="shared" si="5"/>
        <v>-1552035</v>
      </c>
      <c r="AH17" s="76">
        <f t="shared" si="5"/>
        <v>8632642.0999999996</v>
      </c>
      <c r="AI17" s="75">
        <f t="shared" si="5"/>
        <v>11529891.800000001</v>
      </c>
      <c r="AJ17" s="75">
        <f>AJ18+AJ37+AJ38+AJ40+AJ50</f>
        <v>10036727.084999999</v>
      </c>
      <c r="AK17" s="97">
        <f>AK18+AK37+AK38+AK40+AK50</f>
        <v>9836267.5999999996</v>
      </c>
      <c r="AL17" s="73">
        <f>AL18+AL37+AL38+AL40+AL50</f>
        <v>9836267.5999999996</v>
      </c>
      <c r="AM17" s="97">
        <f>AM18+AM37+AM38+AM40+AM50</f>
        <v>0</v>
      </c>
      <c r="AN17" s="97">
        <f>AN18+AN37+AN38+AN40+AN50</f>
        <v>9836267.5999999996</v>
      </c>
    </row>
    <row r="18" spans="1:40" s="2" customFormat="1" ht="10.199999999999999" x14ac:dyDescent="0.2">
      <c r="A18" s="3"/>
      <c r="B18" s="77" t="s">
        <v>307</v>
      </c>
      <c r="C18" s="76">
        <f>C19+C23+C32</f>
        <v>105348003.09999999</v>
      </c>
      <c r="D18" s="76">
        <f t="shared" si="0"/>
        <v>8779000.2583333328</v>
      </c>
      <c r="E18" s="76">
        <f>E19+E23+E32</f>
        <v>5663720</v>
      </c>
      <c r="F18" s="76">
        <f>F19+F23+F32</f>
        <v>9188190</v>
      </c>
      <c r="G18" s="76">
        <f>G19+G23+G32</f>
        <v>6801000</v>
      </c>
      <c r="H18" s="76">
        <f>H19+H23+H32</f>
        <v>7252964.7000000002</v>
      </c>
      <c r="I18" s="76">
        <f>I19+I23+I32</f>
        <v>7252964.7000000002</v>
      </c>
      <c r="J18" s="76"/>
      <c r="K18" s="76"/>
      <c r="L18" s="76">
        <f>L19+L23+L32</f>
        <v>10952964.699999999</v>
      </c>
      <c r="M18" s="76">
        <f>M19+M23+M32</f>
        <v>10676000</v>
      </c>
      <c r="N18" s="76">
        <f t="shared" si="1"/>
        <v>-276964.69999999925</v>
      </c>
      <c r="O18" s="76">
        <f t="shared" si="2"/>
        <v>97.471326644556797</v>
      </c>
      <c r="P18" s="76">
        <f t="shared" ref="P18:U18" si="6">P19+P23+P32</f>
        <v>10042678.800000001</v>
      </c>
      <c r="Q18" s="76">
        <f t="shared" si="6"/>
        <v>-4712250</v>
      </c>
      <c r="R18" s="76">
        <f t="shared" si="6"/>
        <v>5330428.8</v>
      </c>
      <c r="S18" s="76">
        <f t="shared" si="6"/>
        <v>1012250</v>
      </c>
      <c r="T18" s="76">
        <f t="shared" si="6"/>
        <v>0</v>
      </c>
      <c r="U18" s="76">
        <f t="shared" si="6"/>
        <v>-300000</v>
      </c>
      <c r="V18" s="76"/>
      <c r="W18" s="76"/>
      <c r="X18" s="76">
        <f>X19+X23+X32</f>
        <v>6042678.7999999998</v>
      </c>
      <c r="Y18" s="76"/>
      <c r="Z18" s="76">
        <f>Z19+Z23+Z32</f>
        <v>8203853.7999999998</v>
      </c>
      <c r="AA18" s="76"/>
      <c r="AB18" s="76"/>
      <c r="AC18" s="76"/>
      <c r="AD18" s="76">
        <f t="shared" si="4"/>
        <v>8203853.7999999998</v>
      </c>
      <c r="AE18" s="76">
        <f t="shared" ref="AE18:AI18" si="7">AE19+AE23+AE32</f>
        <v>8385077.0999999996</v>
      </c>
      <c r="AF18" s="76">
        <f t="shared" si="7"/>
        <v>48569.2</v>
      </c>
      <c r="AG18" s="76">
        <f t="shared" si="7"/>
        <v>-1862734</v>
      </c>
      <c r="AH18" s="76">
        <f t="shared" si="7"/>
        <v>6570912.2999999998</v>
      </c>
      <c r="AI18" s="75">
        <f t="shared" si="7"/>
        <v>6806512</v>
      </c>
      <c r="AJ18" s="75">
        <f>AJ19+AJ23+AJ32</f>
        <v>8643465.5999999996</v>
      </c>
      <c r="AK18" s="97">
        <f>AK19+AK23+AK32</f>
        <v>8978875.8000000007</v>
      </c>
      <c r="AL18" s="73">
        <f>AL19+AL23+AL32</f>
        <v>8978875.8000000007</v>
      </c>
      <c r="AM18" s="97">
        <f>AM19+AM23+AM32</f>
        <v>0</v>
      </c>
      <c r="AN18" s="97">
        <f>AN19+AN23+AN32</f>
        <v>8978875.8000000007</v>
      </c>
    </row>
    <row r="19" spans="1:40" s="2" customFormat="1" ht="10.199999999999999" x14ac:dyDescent="0.2">
      <c r="A19" s="3"/>
      <c r="B19" s="77" t="s">
        <v>306</v>
      </c>
      <c r="C19" s="76">
        <f>C20+C22</f>
        <v>92937702.799999997</v>
      </c>
      <c r="D19" s="76">
        <f t="shared" si="0"/>
        <v>7744808.5666666664</v>
      </c>
      <c r="E19" s="76">
        <f>E20+E22</f>
        <v>5262830</v>
      </c>
      <c r="F19" s="76">
        <f>F20+F22</f>
        <v>5891230</v>
      </c>
      <c r="G19" s="76">
        <f>G20+G22</f>
        <v>5172500</v>
      </c>
      <c r="H19" s="76">
        <f>H20+H22</f>
        <v>6977041</v>
      </c>
      <c r="I19" s="76">
        <f>I20+I22</f>
        <v>6977041</v>
      </c>
      <c r="J19" s="76"/>
      <c r="K19" s="76"/>
      <c r="L19" s="76">
        <f>L20+L22</f>
        <v>6977041</v>
      </c>
      <c r="M19" s="76">
        <f>M20+M22</f>
        <v>6024700</v>
      </c>
      <c r="N19" s="76">
        <f t="shared" si="1"/>
        <v>-952341</v>
      </c>
      <c r="O19" s="76">
        <f t="shared" si="2"/>
        <v>86.350359701197107</v>
      </c>
      <c r="P19" s="76">
        <f t="shared" ref="P19:U19" si="8">P20+P22</f>
        <v>6124546</v>
      </c>
      <c r="Q19" s="76">
        <f t="shared" si="8"/>
        <v>-1012250</v>
      </c>
      <c r="R19" s="76">
        <f t="shared" si="8"/>
        <v>5112296</v>
      </c>
      <c r="S19" s="76">
        <f t="shared" si="8"/>
        <v>1012250</v>
      </c>
      <c r="T19" s="76">
        <f t="shared" si="8"/>
        <v>0</v>
      </c>
      <c r="U19" s="76">
        <f t="shared" si="8"/>
        <v>-300000</v>
      </c>
      <c r="V19" s="76"/>
      <c r="W19" s="76"/>
      <c r="X19" s="76">
        <f>X20+X22</f>
        <v>5824546</v>
      </c>
      <c r="Y19" s="76"/>
      <c r="Z19" s="76">
        <f>Z20+Z22</f>
        <v>7488579</v>
      </c>
      <c r="AA19" s="76"/>
      <c r="AB19" s="76"/>
      <c r="AC19" s="76"/>
      <c r="AD19" s="76">
        <f t="shared" si="4"/>
        <v>7488579</v>
      </c>
      <c r="AE19" s="76">
        <f>AE20+AE22</f>
        <v>7259608</v>
      </c>
      <c r="AF19" s="76"/>
      <c r="AG19" s="76">
        <f t="shared" ref="AG19:AN19" si="9">AG20+AG22</f>
        <v>-952734</v>
      </c>
      <c r="AH19" s="76">
        <f t="shared" si="9"/>
        <v>6306874</v>
      </c>
      <c r="AI19" s="76">
        <f t="shared" si="9"/>
        <v>6460144</v>
      </c>
      <c r="AJ19" s="75">
        <f t="shared" si="9"/>
        <v>8205996.5</v>
      </c>
      <c r="AK19" s="97">
        <f t="shared" si="9"/>
        <v>8500438.9000000004</v>
      </c>
      <c r="AL19" s="73">
        <f t="shared" si="9"/>
        <v>8500438.9000000004</v>
      </c>
      <c r="AM19" s="97">
        <f t="shared" si="9"/>
        <v>0</v>
      </c>
      <c r="AN19" s="97">
        <f t="shared" si="9"/>
        <v>8500438.9000000004</v>
      </c>
    </row>
    <row r="20" spans="1:40" s="2" customFormat="1" ht="10.199999999999999" x14ac:dyDescent="0.2">
      <c r="A20" s="3"/>
      <c r="B20" s="72" t="s">
        <v>305</v>
      </c>
      <c r="C20" s="43">
        <v>60761602.799999997</v>
      </c>
      <c r="D20" s="43">
        <f t="shared" si="0"/>
        <v>5063466.8999999994</v>
      </c>
      <c r="E20" s="43">
        <v>3710800</v>
      </c>
      <c r="F20" s="43">
        <v>4075590</v>
      </c>
      <c r="G20" s="43">
        <v>2422400</v>
      </c>
      <c r="H20" s="43">
        <v>4728404</v>
      </c>
      <c r="I20" s="43">
        <v>4728404</v>
      </c>
      <c r="J20" s="43"/>
      <c r="K20" s="43"/>
      <c r="L20" s="43">
        <f t="shared" ref="L20:L31" si="10">I20</f>
        <v>4728404</v>
      </c>
      <c r="M20" s="43">
        <v>3629900</v>
      </c>
      <c r="N20" s="43">
        <f t="shared" si="1"/>
        <v>-1098504</v>
      </c>
      <c r="O20" s="43">
        <f t="shared" si="2"/>
        <v>76.767974986908911</v>
      </c>
      <c r="P20" s="43">
        <v>3958273</v>
      </c>
      <c r="Q20" s="43">
        <v>-1012250</v>
      </c>
      <c r="R20" s="43">
        <f t="shared" ref="R20:R50" si="11">SUM(P20:Q20)</f>
        <v>2946023</v>
      </c>
      <c r="S20" s="43">
        <v>1012250</v>
      </c>
      <c r="T20" s="43"/>
      <c r="U20" s="43">
        <v>-500000</v>
      </c>
      <c r="V20" s="43"/>
      <c r="W20" s="43"/>
      <c r="X20" s="43">
        <f>SUM(R20:U20)</f>
        <v>3458273</v>
      </c>
      <c r="Y20" s="43"/>
      <c r="Z20" s="43">
        <v>5102707</v>
      </c>
      <c r="AA20" s="43"/>
      <c r="AB20" s="43"/>
      <c r="AC20" s="43"/>
      <c r="AD20" s="43">
        <f t="shared" si="4"/>
        <v>5102707</v>
      </c>
      <c r="AE20" s="43">
        <v>4979919</v>
      </c>
      <c r="AF20" s="43"/>
      <c r="AG20" s="43">
        <v>-952734</v>
      </c>
      <c r="AH20" s="43">
        <f>AE20+AF20+AG20</f>
        <v>4027185</v>
      </c>
      <c r="AI20" s="71">
        <v>3810144</v>
      </c>
      <c r="AJ20" s="70">
        <v>5255996.5</v>
      </c>
      <c r="AK20" s="98">
        <v>5220438.9000000004</v>
      </c>
      <c r="AL20" s="12">
        <v>5220438.9000000004</v>
      </c>
      <c r="AM20" s="98"/>
      <c r="AN20" s="98">
        <v>5220438.9000000004</v>
      </c>
    </row>
    <row r="21" spans="1:40" s="2" customFormat="1" ht="10.199999999999999" x14ac:dyDescent="0.2">
      <c r="A21" s="3"/>
      <c r="B21" s="72" t="s">
        <v>304</v>
      </c>
      <c r="C21" s="43">
        <v>5363000</v>
      </c>
      <c r="D21" s="43">
        <f t="shared" si="0"/>
        <v>446916.66666666669</v>
      </c>
      <c r="E21" s="43">
        <v>409920</v>
      </c>
      <c r="F21" s="43">
        <v>248470</v>
      </c>
      <c r="G21" s="43">
        <v>475600</v>
      </c>
      <c r="H21" s="43">
        <v>429730</v>
      </c>
      <c r="I21" s="43">
        <v>429730</v>
      </c>
      <c r="J21" s="43"/>
      <c r="K21" s="43"/>
      <c r="L21" s="43">
        <f t="shared" si="10"/>
        <v>429730</v>
      </c>
      <c r="M21" s="43">
        <v>459700</v>
      </c>
      <c r="N21" s="43">
        <f t="shared" si="1"/>
        <v>29970</v>
      </c>
      <c r="O21" s="43">
        <f t="shared" si="2"/>
        <v>106.97414655714053</v>
      </c>
      <c r="P21" s="43">
        <v>161650</v>
      </c>
      <c r="Q21" s="43"/>
      <c r="R21" s="43">
        <f t="shared" si="11"/>
        <v>161650</v>
      </c>
      <c r="S21" s="43"/>
      <c r="T21" s="43"/>
      <c r="U21" s="43"/>
      <c r="V21" s="43"/>
      <c r="W21" s="43"/>
      <c r="X21" s="43">
        <f>SUM(R21:U21)</f>
        <v>161650</v>
      </c>
      <c r="Y21" s="43"/>
      <c r="Z21" s="43">
        <v>444530</v>
      </c>
      <c r="AA21" s="43"/>
      <c r="AB21" s="43"/>
      <c r="AC21" s="43"/>
      <c r="AD21" s="43">
        <f t="shared" si="4"/>
        <v>444530</v>
      </c>
      <c r="AE21" s="43">
        <v>191961</v>
      </c>
      <c r="AF21" s="43"/>
      <c r="AG21" s="43"/>
      <c r="AH21" s="43">
        <f>AE21+AF21</f>
        <v>191961</v>
      </c>
      <c r="AI21" s="71">
        <v>191958</v>
      </c>
      <c r="AJ21" s="70">
        <v>446661</v>
      </c>
      <c r="AK21" s="98">
        <v>444534</v>
      </c>
      <c r="AL21" s="12">
        <v>444534</v>
      </c>
      <c r="AM21" s="98"/>
      <c r="AN21" s="98">
        <v>444534</v>
      </c>
    </row>
    <row r="22" spans="1:40" s="2" customFormat="1" ht="10.199999999999999" x14ac:dyDescent="0.2">
      <c r="A22" s="3"/>
      <c r="B22" s="72" t="s">
        <v>303</v>
      </c>
      <c r="C22" s="43">
        <v>32176100</v>
      </c>
      <c r="D22" s="43">
        <f t="shared" si="0"/>
        <v>2681341.6666666665</v>
      </c>
      <c r="E22" s="43">
        <v>1552030</v>
      </c>
      <c r="F22" s="43">
        <v>1815640</v>
      </c>
      <c r="G22" s="43">
        <v>2750100</v>
      </c>
      <c r="H22" s="43">
        <v>2248637</v>
      </c>
      <c r="I22" s="43">
        <v>2248637</v>
      </c>
      <c r="J22" s="43"/>
      <c r="K22" s="43"/>
      <c r="L22" s="43">
        <f t="shared" si="10"/>
        <v>2248637</v>
      </c>
      <c r="M22" s="43">
        <v>2394800</v>
      </c>
      <c r="N22" s="43">
        <f t="shared" si="1"/>
        <v>146163</v>
      </c>
      <c r="O22" s="43">
        <f t="shared" si="2"/>
        <v>106.50007093185782</v>
      </c>
      <c r="P22" s="43">
        <v>2166273</v>
      </c>
      <c r="Q22" s="43"/>
      <c r="R22" s="43">
        <f t="shared" si="11"/>
        <v>2166273</v>
      </c>
      <c r="S22" s="43"/>
      <c r="T22" s="43"/>
      <c r="U22" s="43">
        <v>200000</v>
      </c>
      <c r="V22" s="43"/>
      <c r="W22" s="43"/>
      <c r="X22" s="43">
        <f>SUM(R22:U22)</f>
        <v>2366273</v>
      </c>
      <c r="Y22" s="43"/>
      <c r="Z22" s="43">
        <v>2385872</v>
      </c>
      <c r="AA22" s="43"/>
      <c r="AB22" s="43"/>
      <c r="AC22" s="43"/>
      <c r="AD22" s="43">
        <f t="shared" si="4"/>
        <v>2385872</v>
      </c>
      <c r="AE22" s="43">
        <v>2279689</v>
      </c>
      <c r="AF22" s="43"/>
      <c r="AG22" s="43"/>
      <c r="AH22" s="43">
        <f>AE22+AF22</f>
        <v>2279689</v>
      </c>
      <c r="AI22" s="71">
        <v>2650000</v>
      </c>
      <c r="AJ22" s="70">
        <v>2950000</v>
      </c>
      <c r="AK22" s="98">
        <v>3280000</v>
      </c>
      <c r="AL22" s="12">
        <v>3280000</v>
      </c>
      <c r="AM22" s="98"/>
      <c r="AN22" s="98">
        <v>3280000</v>
      </c>
    </row>
    <row r="23" spans="1:40" s="2" customFormat="1" ht="10.199999999999999" x14ac:dyDescent="0.2">
      <c r="A23" s="3"/>
      <c r="B23" s="77" t="s">
        <v>302</v>
      </c>
      <c r="C23" s="76">
        <f>SUM(C24:C31)</f>
        <v>2593944</v>
      </c>
      <c r="D23" s="76">
        <f t="shared" si="0"/>
        <v>216162</v>
      </c>
      <c r="E23" s="76"/>
      <c r="F23" s="76">
        <f>SUM(F24:F31)</f>
        <v>3032930</v>
      </c>
      <c r="G23" s="76"/>
      <c r="H23" s="76"/>
      <c r="I23" s="76"/>
      <c r="J23" s="76"/>
      <c r="K23" s="76"/>
      <c r="L23" s="43">
        <f t="shared" si="10"/>
        <v>0</v>
      </c>
      <c r="M23" s="43"/>
      <c r="N23" s="43">
        <f t="shared" si="1"/>
        <v>0</v>
      </c>
      <c r="O23" s="43"/>
      <c r="P23" s="43"/>
      <c r="Q23" s="43"/>
      <c r="R23" s="43">
        <f t="shared" si="11"/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71"/>
      <c r="AJ23" s="70"/>
      <c r="AK23" s="98"/>
      <c r="AL23" s="12"/>
      <c r="AM23" s="98"/>
      <c r="AN23" s="98"/>
    </row>
    <row r="24" spans="1:40" s="2" customFormat="1" ht="10.199999999999999" x14ac:dyDescent="0.2">
      <c r="A24" s="3"/>
      <c r="B24" s="72" t="s">
        <v>301</v>
      </c>
      <c r="C24" s="43">
        <v>1283040</v>
      </c>
      <c r="D24" s="43">
        <f t="shared" si="0"/>
        <v>106920</v>
      </c>
      <c r="E24" s="43"/>
      <c r="F24" s="43">
        <v>354400</v>
      </c>
      <c r="G24" s="43"/>
      <c r="H24" s="43"/>
      <c r="I24" s="43"/>
      <c r="J24" s="43"/>
      <c r="K24" s="43"/>
      <c r="L24" s="43">
        <f t="shared" si="10"/>
        <v>0</v>
      </c>
      <c r="M24" s="43"/>
      <c r="N24" s="43">
        <f t="shared" si="1"/>
        <v>0</v>
      </c>
      <c r="O24" s="43"/>
      <c r="P24" s="43"/>
      <c r="Q24" s="43"/>
      <c r="R24" s="43">
        <f t="shared" si="11"/>
        <v>0</v>
      </c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71"/>
      <c r="AJ24" s="70"/>
      <c r="AK24" s="98"/>
      <c r="AL24" s="12"/>
      <c r="AM24" s="98"/>
      <c r="AN24" s="98"/>
    </row>
    <row r="25" spans="1:40" s="2" customFormat="1" ht="10.199999999999999" x14ac:dyDescent="0.2">
      <c r="A25" s="3"/>
      <c r="B25" s="72" t="s">
        <v>300</v>
      </c>
      <c r="C25" s="43"/>
      <c r="D25" s="43">
        <f t="shared" si="0"/>
        <v>0</v>
      </c>
      <c r="E25" s="43"/>
      <c r="F25" s="43"/>
      <c r="G25" s="43"/>
      <c r="H25" s="43"/>
      <c r="I25" s="43"/>
      <c r="J25" s="43"/>
      <c r="K25" s="43"/>
      <c r="L25" s="43">
        <f t="shared" si="10"/>
        <v>0</v>
      </c>
      <c r="M25" s="43"/>
      <c r="N25" s="43">
        <f t="shared" si="1"/>
        <v>0</v>
      </c>
      <c r="O25" s="43"/>
      <c r="P25" s="43"/>
      <c r="Q25" s="43"/>
      <c r="R25" s="43">
        <f t="shared" si="11"/>
        <v>0</v>
      </c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71"/>
      <c r="AJ25" s="70"/>
      <c r="AK25" s="98"/>
      <c r="AL25" s="12"/>
      <c r="AM25" s="98"/>
      <c r="AN25" s="98"/>
    </row>
    <row r="26" spans="1:40" s="2" customFormat="1" ht="10.199999999999999" x14ac:dyDescent="0.2">
      <c r="A26" s="3"/>
      <c r="B26" s="72" t="s">
        <v>299</v>
      </c>
      <c r="C26" s="43"/>
      <c r="D26" s="43"/>
      <c r="E26" s="43"/>
      <c r="F26" s="43">
        <v>409160</v>
      </c>
      <c r="G26" s="43"/>
      <c r="H26" s="43"/>
      <c r="I26" s="43"/>
      <c r="J26" s="43"/>
      <c r="K26" s="43"/>
      <c r="L26" s="43">
        <f t="shared" si="10"/>
        <v>0</v>
      </c>
      <c r="M26" s="43"/>
      <c r="N26" s="43">
        <f t="shared" si="1"/>
        <v>0</v>
      </c>
      <c r="O26" s="43"/>
      <c r="P26" s="43"/>
      <c r="Q26" s="43"/>
      <c r="R26" s="43">
        <f t="shared" si="11"/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71"/>
      <c r="AJ26" s="70"/>
      <c r="AK26" s="98"/>
      <c r="AL26" s="12"/>
      <c r="AM26" s="98"/>
      <c r="AN26" s="98"/>
    </row>
    <row r="27" spans="1:40" s="2" customFormat="1" ht="10.199999999999999" x14ac:dyDescent="0.2">
      <c r="A27" s="3"/>
      <c r="B27" s="72" t="s">
        <v>298</v>
      </c>
      <c r="C27" s="43"/>
      <c r="D27" s="43"/>
      <c r="E27" s="43"/>
      <c r="F27" s="43">
        <v>2232140</v>
      </c>
      <c r="G27" s="43"/>
      <c r="H27" s="43"/>
      <c r="I27" s="43"/>
      <c r="J27" s="43"/>
      <c r="K27" s="43"/>
      <c r="L27" s="43">
        <f t="shared" si="10"/>
        <v>0</v>
      </c>
      <c r="M27" s="43"/>
      <c r="N27" s="43">
        <f t="shared" si="1"/>
        <v>0</v>
      </c>
      <c r="O27" s="43"/>
      <c r="P27" s="43"/>
      <c r="Q27" s="43"/>
      <c r="R27" s="43">
        <f t="shared" si="11"/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71"/>
      <c r="AJ27" s="70"/>
      <c r="AK27" s="98"/>
      <c r="AL27" s="12"/>
      <c r="AM27" s="98"/>
      <c r="AN27" s="98"/>
    </row>
    <row r="28" spans="1:40" s="2" customFormat="1" ht="10.199999999999999" x14ac:dyDescent="0.2">
      <c r="A28" s="3"/>
      <c r="B28" s="72" t="s">
        <v>297</v>
      </c>
      <c r="C28" s="43">
        <v>611064</v>
      </c>
      <c r="D28" s="43">
        <f>C28/12</f>
        <v>50922</v>
      </c>
      <c r="E28" s="43"/>
      <c r="F28" s="43">
        <v>37230</v>
      </c>
      <c r="G28" s="43"/>
      <c r="H28" s="43"/>
      <c r="I28" s="43"/>
      <c r="J28" s="43"/>
      <c r="K28" s="43"/>
      <c r="L28" s="43">
        <f t="shared" si="10"/>
        <v>0</v>
      </c>
      <c r="M28" s="43"/>
      <c r="N28" s="43">
        <f t="shared" si="1"/>
        <v>0</v>
      </c>
      <c r="O28" s="43"/>
      <c r="P28" s="43"/>
      <c r="Q28" s="43"/>
      <c r="R28" s="43">
        <f t="shared" si="11"/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71"/>
      <c r="AJ28" s="70"/>
      <c r="AK28" s="98"/>
      <c r="AL28" s="12"/>
      <c r="AM28" s="98"/>
      <c r="AN28" s="98"/>
    </row>
    <row r="29" spans="1:40" s="2" customFormat="1" ht="10.199999999999999" x14ac:dyDescent="0.2">
      <c r="A29" s="3"/>
      <c r="B29" s="72" t="s">
        <v>296</v>
      </c>
      <c r="C29" s="43"/>
      <c r="D29" s="43">
        <f>C29/12</f>
        <v>0</v>
      </c>
      <c r="E29" s="43"/>
      <c r="F29" s="43"/>
      <c r="G29" s="43"/>
      <c r="H29" s="43"/>
      <c r="I29" s="43"/>
      <c r="J29" s="43"/>
      <c r="K29" s="43"/>
      <c r="L29" s="43">
        <f t="shared" si="10"/>
        <v>0</v>
      </c>
      <c r="M29" s="43"/>
      <c r="N29" s="43">
        <f t="shared" si="1"/>
        <v>0</v>
      </c>
      <c r="O29" s="43"/>
      <c r="P29" s="43"/>
      <c r="Q29" s="43"/>
      <c r="R29" s="43">
        <f t="shared" si="11"/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71"/>
      <c r="AJ29" s="70"/>
      <c r="AK29" s="98"/>
      <c r="AL29" s="12"/>
      <c r="AM29" s="98"/>
      <c r="AN29" s="98"/>
    </row>
    <row r="30" spans="1:40" s="2" customFormat="1" ht="20.399999999999999" x14ac:dyDescent="0.2">
      <c r="A30" s="3"/>
      <c r="B30" s="72" t="s">
        <v>295</v>
      </c>
      <c r="C30" s="43">
        <v>699840</v>
      </c>
      <c r="D30" s="43">
        <f>C30/12</f>
        <v>58320</v>
      </c>
      <c r="E30" s="43"/>
      <c r="F30" s="43"/>
      <c r="G30" s="43"/>
      <c r="H30" s="43"/>
      <c r="I30" s="43"/>
      <c r="J30" s="43"/>
      <c r="K30" s="43"/>
      <c r="L30" s="43">
        <f t="shared" si="10"/>
        <v>0</v>
      </c>
      <c r="M30" s="43"/>
      <c r="N30" s="43">
        <f t="shared" si="1"/>
        <v>0</v>
      </c>
      <c r="O30" s="43"/>
      <c r="P30" s="43"/>
      <c r="Q30" s="43"/>
      <c r="R30" s="43">
        <f t="shared" si="11"/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71"/>
      <c r="AJ30" s="70"/>
      <c r="AK30" s="98"/>
      <c r="AL30" s="12"/>
      <c r="AM30" s="98"/>
      <c r="AN30" s="98"/>
    </row>
    <row r="31" spans="1:40" s="2" customFormat="1" ht="20.399999999999999" x14ac:dyDescent="0.2">
      <c r="A31" s="3"/>
      <c r="B31" s="72" t="s">
        <v>294</v>
      </c>
      <c r="C31" s="43"/>
      <c r="D31" s="43"/>
      <c r="E31" s="43"/>
      <c r="F31" s="43"/>
      <c r="G31" s="43"/>
      <c r="H31" s="43"/>
      <c r="I31" s="43"/>
      <c r="J31" s="43"/>
      <c r="K31" s="43"/>
      <c r="L31" s="43">
        <f t="shared" si="10"/>
        <v>0</v>
      </c>
      <c r="M31" s="43"/>
      <c r="N31" s="43">
        <f t="shared" si="1"/>
        <v>0</v>
      </c>
      <c r="O31" s="43"/>
      <c r="P31" s="43"/>
      <c r="Q31" s="43"/>
      <c r="R31" s="43">
        <f t="shared" si="11"/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71"/>
      <c r="AJ31" s="70"/>
      <c r="AK31" s="98"/>
      <c r="AL31" s="12"/>
      <c r="AM31" s="98"/>
      <c r="AN31" s="98"/>
    </row>
    <row r="32" spans="1:40" s="2" customFormat="1" ht="10.199999999999999" x14ac:dyDescent="0.2">
      <c r="A32" s="3"/>
      <c r="B32" s="77" t="s">
        <v>293</v>
      </c>
      <c r="C32" s="76">
        <f>19832345-10015988.7</f>
        <v>9816356.3000000007</v>
      </c>
      <c r="D32" s="76">
        <f>C32/12</f>
        <v>818029.69166666677</v>
      </c>
      <c r="E32" s="76">
        <v>400890</v>
      </c>
      <c r="F32" s="76">
        <v>264030</v>
      </c>
      <c r="G32" s="76">
        <v>1628500</v>
      </c>
      <c r="H32" s="76">
        <f>1338665-1062741.3</f>
        <v>275923.69999999995</v>
      </c>
      <c r="I32" s="76">
        <v>275923.7</v>
      </c>
      <c r="J32" s="76"/>
      <c r="K32" s="76"/>
      <c r="L32" s="76">
        <f>I32+L34</f>
        <v>3975923.7</v>
      </c>
      <c r="M32" s="76">
        <v>4651300</v>
      </c>
      <c r="N32" s="76">
        <f t="shared" si="1"/>
        <v>675376.29999999981</v>
      </c>
      <c r="O32" s="76">
        <f>M32/L32*100</f>
        <v>116.9866514289497</v>
      </c>
      <c r="P32" s="76">
        <f>4715671.8-797539</f>
        <v>3918132.8</v>
      </c>
      <c r="Q32" s="76">
        <v>-3700000</v>
      </c>
      <c r="R32" s="76">
        <f t="shared" si="11"/>
        <v>218132.79999999981</v>
      </c>
      <c r="S32" s="76"/>
      <c r="T32" s="76"/>
      <c r="U32" s="76"/>
      <c r="V32" s="76"/>
      <c r="W32" s="76"/>
      <c r="X32" s="76">
        <f t="shared" ref="X32:X42" si="12">SUM(R32:U32)</f>
        <v>218132.79999999981</v>
      </c>
      <c r="Y32" s="76"/>
      <c r="Z32" s="76">
        <f>1512813.8-797539</f>
        <v>715274.8</v>
      </c>
      <c r="AA32" s="76"/>
      <c r="AB32" s="76"/>
      <c r="AC32" s="76"/>
      <c r="AD32" s="76">
        <f t="shared" ref="AD32:AD42" si="13">SUM(Z32:AB32)</f>
        <v>715274.8</v>
      </c>
      <c r="AE32" s="76">
        <f>1947175.3-821706.2</f>
        <v>1125469.1000000001</v>
      </c>
      <c r="AF32" s="76">
        <f>AF36</f>
        <v>48569.2</v>
      </c>
      <c r="AG32" s="76">
        <v>-910000</v>
      </c>
      <c r="AH32" s="76">
        <f>AE32+AF32+AG32</f>
        <v>264038.30000000005</v>
      </c>
      <c r="AI32" s="75">
        <v>346368</v>
      </c>
      <c r="AJ32" s="75">
        <v>437469.1</v>
      </c>
      <c r="AK32" s="97">
        <f>1272747.9-794311</f>
        <v>478436.89999999991</v>
      </c>
      <c r="AL32" s="73">
        <f>1272747.9-794311</f>
        <v>478436.89999999991</v>
      </c>
      <c r="AM32" s="97"/>
      <c r="AN32" s="97">
        <f>1272747.9-794311</f>
        <v>478436.89999999991</v>
      </c>
    </row>
    <row r="33" spans="1:40" s="2" customFormat="1" ht="20.399999999999999" x14ac:dyDescent="0.2">
      <c r="A33" s="3"/>
      <c r="B33" s="72" t="s">
        <v>292</v>
      </c>
      <c r="C33" s="43">
        <v>1550838.9</v>
      </c>
      <c r="D33" s="43">
        <f>C33/12</f>
        <v>129236.575</v>
      </c>
      <c r="E33" s="43">
        <v>11000</v>
      </c>
      <c r="F33" s="43">
        <v>500</v>
      </c>
      <c r="G33" s="43"/>
      <c r="H33" s="43"/>
      <c r="I33" s="43"/>
      <c r="J33" s="43"/>
      <c r="K33" s="43"/>
      <c r="L33" s="43">
        <f>I33</f>
        <v>0</v>
      </c>
      <c r="M33" s="43">
        <v>51500</v>
      </c>
      <c r="N33" s="43">
        <f t="shared" si="1"/>
        <v>51500</v>
      </c>
      <c r="O33" s="43"/>
      <c r="P33" s="43"/>
      <c r="Q33" s="43"/>
      <c r="R33" s="43">
        <f t="shared" si="11"/>
        <v>0</v>
      </c>
      <c r="S33" s="43"/>
      <c r="T33" s="43"/>
      <c r="U33" s="43"/>
      <c r="V33" s="43"/>
      <c r="W33" s="43"/>
      <c r="X33" s="43">
        <f t="shared" si="12"/>
        <v>0</v>
      </c>
      <c r="Y33" s="43"/>
      <c r="Z33" s="43">
        <v>500000</v>
      </c>
      <c r="AA33" s="43"/>
      <c r="AB33" s="43"/>
      <c r="AC33" s="43"/>
      <c r="AD33" s="43">
        <f t="shared" si="13"/>
        <v>500000</v>
      </c>
      <c r="AE33" s="43"/>
      <c r="AF33" s="43"/>
      <c r="AG33" s="43"/>
      <c r="AH33" s="43">
        <f t="shared" ref="AH33:AH39" si="14">AE33+AF33</f>
        <v>0</v>
      </c>
      <c r="AI33" s="71">
        <v>172600</v>
      </c>
      <c r="AJ33" s="93">
        <v>183600</v>
      </c>
      <c r="AK33" s="99">
        <v>183638.9</v>
      </c>
      <c r="AL33" s="39">
        <v>183638.9</v>
      </c>
      <c r="AM33" s="99"/>
      <c r="AN33" s="99">
        <v>183638.9</v>
      </c>
    </row>
    <row r="34" spans="1:40" s="2" customFormat="1" ht="10.199999999999999" x14ac:dyDescent="0.2">
      <c r="A34" s="3"/>
      <c r="B34" s="72" t="s">
        <v>291</v>
      </c>
      <c r="C34" s="43">
        <v>3700000</v>
      </c>
      <c r="D34" s="43">
        <f>C34/12</f>
        <v>308333.33333333331</v>
      </c>
      <c r="E34" s="43"/>
      <c r="F34" s="43"/>
      <c r="G34" s="43"/>
      <c r="H34" s="43"/>
      <c r="I34" s="43"/>
      <c r="J34" s="43"/>
      <c r="K34" s="43"/>
      <c r="L34" s="43">
        <v>3700000</v>
      </c>
      <c r="M34" s="43">
        <v>4579800</v>
      </c>
      <c r="N34" s="43">
        <f t="shared" si="1"/>
        <v>879800</v>
      </c>
      <c r="O34" s="43">
        <f>M34/L34*100</f>
        <v>123.77837837837838</v>
      </c>
      <c r="P34" s="43">
        <v>3700000</v>
      </c>
      <c r="Q34" s="43">
        <v>-3700000</v>
      </c>
      <c r="R34" s="43">
        <f t="shared" si="11"/>
        <v>0</v>
      </c>
      <c r="S34" s="43"/>
      <c r="T34" s="43"/>
      <c r="U34" s="43"/>
      <c r="V34" s="43"/>
      <c r="W34" s="43"/>
      <c r="X34" s="43">
        <f t="shared" si="12"/>
        <v>0</v>
      </c>
      <c r="Y34" s="43"/>
      <c r="Z34" s="43"/>
      <c r="AA34" s="43"/>
      <c r="AB34" s="43"/>
      <c r="AC34" s="43"/>
      <c r="AD34" s="43">
        <f t="shared" si="13"/>
        <v>0</v>
      </c>
      <c r="AE34" s="43">
        <f>SUM(Y34:AB34)</f>
        <v>0</v>
      </c>
      <c r="AF34" s="43"/>
      <c r="AG34" s="43"/>
      <c r="AH34" s="43">
        <f t="shared" si="14"/>
        <v>0</v>
      </c>
      <c r="AI34" s="71"/>
      <c r="AJ34" s="70">
        <v>0</v>
      </c>
      <c r="AK34" s="98">
        <v>0</v>
      </c>
      <c r="AL34" s="12">
        <v>0</v>
      </c>
      <c r="AM34" s="98">
        <v>0</v>
      </c>
      <c r="AN34" s="98">
        <v>0</v>
      </c>
    </row>
    <row r="35" spans="1:40" s="2" customFormat="1" ht="10.199999999999999" x14ac:dyDescent="0.2">
      <c r="A35" s="3"/>
      <c r="B35" s="72" t="s">
        <v>290</v>
      </c>
      <c r="C35" s="43">
        <v>506603.6</v>
      </c>
      <c r="D35" s="43">
        <f>C35/12</f>
        <v>42216.966666666667</v>
      </c>
      <c r="E35" s="43">
        <v>17990</v>
      </c>
      <c r="F35" s="43">
        <v>7160</v>
      </c>
      <c r="G35" s="43">
        <v>24600</v>
      </c>
      <c r="H35" s="43"/>
      <c r="I35" s="43"/>
      <c r="J35" s="43"/>
      <c r="K35" s="43"/>
      <c r="L35" s="43">
        <f t="shared" ref="L35:L50" si="15">I35</f>
        <v>0</v>
      </c>
      <c r="M35" s="43">
        <v>8600</v>
      </c>
      <c r="N35" s="43">
        <f t="shared" si="1"/>
        <v>8600</v>
      </c>
      <c r="O35" s="43"/>
      <c r="P35" s="43">
        <v>17000</v>
      </c>
      <c r="Q35" s="43"/>
      <c r="R35" s="43">
        <f t="shared" si="11"/>
        <v>17000</v>
      </c>
      <c r="S35" s="43"/>
      <c r="T35" s="43"/>
      <c r="U35" s="43"/>
      <c r="V35" s="43"/>
      <c r="W35" s="43"/>
      <c r="X35" s="43">
        <f t="shared" si="12"/>
        <v>17000</v>
      </c>
      <c r="Y35" s="43"/>
      <c r="Z35" s="43">
        <v>17000</v>
      </c>
      <c r="AA35" s="43"/>
      <c r="AB35" s="43"/>
      <c r="AC35" s="43"/>
      <c r="AD35" s="43">
        <f t="shared" si="13"/>
        <v>17000</v>
      </c>
      <c r="AE35" s="43">
        <v>17000</v>
      </c>
      <c r="AF35" s="43"/>
      <c r="AG35" s="43"/>
      <c r="AH35" s="43">
        <f t="shared" si="14"/>
        <v>17000</v>
      </c>
      <c r="AI35" s="71">
        <v>50000</v>
      </c>
      <c r="AJ35" s="70">
        <v>50000</v>
      </c>
      <c r="AK35" s="98">
        <v>50000</v>
      </c>
      <c r="AL35" s="12">
        <v>50000</v>
      </c>
      <c r="AM35" s="98"/>
      <c r="AN35" s="98">
        <v>50000</v>
      </c>
    </row>
    <row r="36" spans="1:40" s="2" customFormat="1" ht="20.399999999999999" x14ac:dyDescent="0.2">
      <c r="A36" s="3"/>
      <c r="B36" s="72" t="s">
        <v>289</v>
      </c>
      <c r="C36" s="43">
        <v>1095408.8</v>
      </c>
      <c r="D36" s="43">
        <f>C36/12</f>
        <v>91284.066666666666</v>
      </c>
      <c r="E36" s="43">
        <v>110730</v>
      </c>
      <c r="F36" s="43">
        <v>105460</v>
      </c>
      <c r="G36" s="43">
        <v>48400</v>
      </c>
      <c r="H36" s="43">
        <v>79976.7</v>
      </c>
      <c r="I36" s="43">
        <v>79976.7</v>
      </c>
      <c r="J36" s="43"/>
      <c r="K36" s="43"/>
      <c r="L36" s="43">
        <f t="shared" si="15"/>
        <v>79976.7</v>
      </c>
      <c r="M36" s="43">
        <v>103200</v>
      </c>
      <c r="N36" s="43">
        <f t="shared" si="1"/>
        <v>23223.300000000003</v>
      </c>
      <c r="O36" s="43">
        <f>M36/L36*100</f>
        <v>129.03758219581454</v>
      </c>
      <c r="P36" s="43">
        <v>92312.8</v>
      </c>
      <c r="Q36" s="43"/>
      <c r="R36" s="43">
        <f t="shared" si="11"/>
        <v>92312.8</v>
      </c>
      <c r="S36" s="43"/>
      <c r="T36" s="43"/>
      <c r="U36" s="43"/>
      <c r="V36" s="43"/>
      <c r="W36" s="43"/>
      <c r="X36" s="43">
        <f t="shared" si="12"/>
        <v>92312.8</v>
      </c>
      <c r="Y36" s="43"/>
      <c r="Z36" s="43">
        <v>84430.8</v>
      </c>
      <c r="AA36" s="43"/>
      <c r="AB36" s="43"/>
      <c r="AC36" s="43"/>
      <c r="AD36" s="43">
        <f t="shared" si="13"/>
        <v>84430.8</v>
      </c>
      <c r="AE36" s="43">
        <v>81254.100000000006</v>
      </c>
      <c r="AF36" s="43">
        <f>129823.3-AE36</f>
        <v>48569.2</v>
      </c>
      <c r="AG36" s="43"/>
      <c r="AH36" s="43">
        <f t="shared" si="14"/>
        <v>129823.3</v>
      </c>
      <c r="AI36" s="71">
        <v>25000</v>
      </c>
      <c r="AJ36" s="70">
        <v>71576.100000000006</v>
      </c>
      <c r="AK36" s="98">
        <v>94959</v>
      </c>
      <c r="AL36" s="12">
        <v>94959</v>
      </c>
      <c r="AM36" s="98"/>
      <c r="AN36" s="98">
        <v>94959</v>
      </c>
    </row>
    <row r="37" spans="1:40" s="2" customFormat="1" ht="10.199999999999999" x14ac:dyDescent="0.2">
      <c r="A37" s="3"/>
      <c r="B37" s="77" t="s">
        <v>288</v>
      </c>
      <c r="C37" s="76"/>
      <c r="D37" s="43"/>
      <c r="E37" s="76">
        <v>340</v>
      </c>
      <c r="F37" s="76"/>
      <c r="G37" s="76"/>
      <c r="H37" s="76"/>
      <c r="I37" s="76"/>
      <c r="J37" s="76"/>
      <c r="K37" s="76"/>
      <c r="L37" s="43">
        <f t="shared" si="15"/>
        <v>0</v>
      </c>
      <c r="M37" s="43"/>
      <c r="N37" s="43">
        <f t="shared" si="1"/>
        <v>0</v>
      </c>
      <c r="O37" s="43"/>
      <c r="P37" s="43"/>
      <c r="Q37" s="43"/>
      <c r="R37" s="43">
        <f t="shared" si="11"/>
        <v>0</v>
      </c>
      <c r="S37" s="43"/>
      <c r="T37" s="43"/>
      <c r="U37" s="43"/>
      <c r="V37" s="43"/>
      <c r="W37" s="43"/>
      <c r="X37" s="43">
        <f t="shared" si="12"/>
        <v>0</v>
      </c>
      <c r="Y37" s="43"/>
      <c r="Z37" s="43"/>
      <c r="AA37" s="43"/>
      <c r="AB37" s="43"/>
      <c r="AC37" s="43"/>
      <c r="AD37" s="43">
        <f t="shared" si="13"/>
        <v>0</v>
      </c>
      <c r="AE37" s="43">
        <f>SUM(Y37:AB37)</f>
        <v>0</v>
      </c>
      <c r="AF37" s="43"/>
      <c r="AG37" s="43"/>
      <c r="AH37" s="43">
        <f t="shared" si="14"/>
        <v>0</v>
      </c>
      <c r="AI37" s="71"/>
      <c r="AJ37" s="70">
        <v>0</v>
      </c>
      <c r="AK37" s="98">
        <v>0</v>
      </c>
      <c r="AL37" s="12">
        <v>0</v>
      </c>
      <c r="AM37" s="98">
        <v>0</v>
      </c>
      <c r="AN37" s="98">
        <v>0</v>
      </c>
    </row>
    <row r="38" spans="1:40" s="2" customFormat="1" ht="10.199999999999999" x14ac:dyDescent="0.2">
      <c r="A38" s="3"/>
      <c r="B38" s="77" t="s">
        <v>287</v>
      </c>
      <c r="C38" s="76">
        <v>4588365.4000000004</v>
      </c>
      <c r="D38" s="76">
        <f t="shared" ref="D38:D44" si="16">C38/12</f>
        <v>382363.78333333338</v>
      </c>
      <c r="E38" s="76">
        <v>258960</v>
      </c>
      <c r="F38" s="76">
        <v>310980</v>
      </c>
      <c r="G38" s="76">
        <v>191900</v>
      </c>
      <c r="H38" s="76">
        <v>237700</v>
      </c>
      <c r="I38" s="76">
        <v>237700</v>
      </c>
      <c r="J38" s="76"/>
      <c r="K38" s="76"/>
      <c r="L38" s="76">
        <f t="shared" si="15"/>
        <v>237700</v>
      </c>
      <c r="M38" s="76">
        <v>436500</v>
      </c>
      <c r="N38" s="76">
        <f t="shared" si="1"/>
        <v>198800</v>
      </c>
      <c r="O38" s="76">
        <f>M38/L38*100</f>
        <v>183.6348338241481</v>
      </c>
      <c r="P38" s="76">
        <v>121469.2</v>
      </c>
      <c r="Q38" s="76"/>
      <c r="R38" s="76">
        <f t="shared" si="11"/>
        <v>121469.2</v>
      </c>
      <c r="S38" s="76"/>
      <c r="T38" s="76">
        <f>T39</f>
        <v>133260</v>
      </c>
      <c r="U38" s="76">
        <f>U39</f>
        <v>-133260</v>
      </c>
      <c r="V38" s="76"/>
      <c r="W38" s="76"/>
      <c r="X38" s="76">
        <f t="shared" si="12"/>
        <v>121469.20000000001</v>
      </c>
      <c r="Y38" s="76"/>
      <c r="Z38" s="76">
        <v>132977.9</v>
      </c>
      <c r="AA38" s="76"/>
      <c r="AB38" s="76"/>
      <c r="AC38" s="76"/>
      <c r="AD38" s="76">
        <f t="shared" si="13"/>
        <v>132977.9</v>
      </c>
      <c r="AE38" s="76">
        <f>AE39</f>
        <v>149607.70000000001</v>
      </c>
      <c r="AF38" s="76">
        <f>AF39</f>
        <v>9022.0999999999767</v>
      </c>
      <c r="AG38" s="76"/>
      <c r="AH38" s="76">
        <f t="shared" si="14"/>
        <v>158629.79999999999</v>
      </c>
      <c r="AI38" s="75">
        <v>71300</v>
      </c>
      <c r="AJ38" s="75">
        <v>43595</v>
      </c>
      <c r="AK38" s="74">
        <v>108270.6</v>
      </c>
      <c r="AL38" s="73">
        <v>108270.6</v>
      </c>
      <c r="AM38" s="74"/>
      <c r="AN38" s="74">
        <v>108270.6</v>
      </c>
    </row>
    <row r="39" spans="1:40" s="2" customFormat="1" ht="20.399999999999999" x14ac:dyDescent="0.2">
      <c r="A39" s="3"/>
      <c r="B39" s="72" t="s">
        <v>286</v>
      </c>
      <c r="C39" s="43">
        <v>1431802.8</v>
      </c>
      <c r="D39" s="43">
        <f t="shared" si="16"/>
        <v>119316.90000000001</v>
      </c>
      <c r="E39" s="43">
        <v>258960</v>
      </c>
      <c r="F39" s="43">
        <v>229850</v>
      </c>
      <c r="G39" s="43">
        <v>191900</v>
      </c>
      <c r="H39" s="43">
        <v>237700</v>
      </c>
      <c r="I39" s="43">
        <v>237700</v>
      </c>
      <c r="J39" s="43"/>
      <c r="K39" s="43"/>
      <c r="L39" s="43">
        <f t="shared" si="15"/>
        <v>237700</v>
      </c>
      <c r="M39" s="43">
        <v>436500</v>
      </c>
      <c r="N39" s="43">
        <f t="shared" si="1"/>
        <v>198800</v>
      </c>
      <c r="O39" s="43">
        <f>M39/L39*100</f>
        <v>183.6348338241481</v>
      </c>
      <c r="P39" s="43">
        <v>121469.2</v>
      </c>
      <c r="Q39" s="43"/>
      <c r="R39" s="43">
        <f t="shared" si="11"/>
        <v>121469.2</v>
      </c>
      <c r="S39" s="43"/>
      <c r="T39" s="43">
        <v>133260</v>
      </c>
      <c r="U39" s="43">
        <v>-133260</v>
      </c>
      <c r="V39" s="43"/>
      <c r="W39" s="43"/>
      <c r="X39" s="43">
        <f t="shared" si="12"/>
        <v>121469.20000000001</v>
      </c>
      <c r="Y39" s="43"/>
      <c r="Z39" s="43">
        <v>132977.9</v>
      </c>
      <c r="AA39" s="43"/>
      <c r="AB39" s="43"/>
      <c r="AC39" s="43"/>
      <c r="AD39" s="43">
        <f t="shared" si="13"/>
        <v>132977.9</v>
      </c>
      <c r="AE39" s="43">
        <v>149607.70000000001</v>
      </c>
      <c r="AF39" s="43">
        <f>158629.8-AE39</f>
        <v>9022.0999999999767</v>
      </c>
      <c r="AG39" s="43"/>
      <c r="AH39" s="43">
        <f t="shared" si="14"/>
        <v>158629.79999999999</v>
      </c>
      <c r="AI39" s="71">
        <v>71300</v>
      </c>
      <c r="AJ39" s="70">
        <v>43595</v>
      </c>
      <c r="AK39" s="100">
        <v>108270.6</v>
      </c>
      <c r="AL39" s="12">
        <v>108270.6</v>
      </c>
      <c r="AM39" s="100"/>
      <c r="AN39" s="100">
        <v>108270.6</v>
      </c>
    </row>
    <row r="40" spans="1:40" s="2" customFormat="1" ht="10.199999999999999" x14ac:dyDescent="0.2">
      <c r="A40" s="3"/>
      <c r="B40" s="77" t="s">
        <v>285</v>
      </c>
      <c r="C40" s="76">
        <f>SUM(C41:C43)</f>
        <v>12647080</v>
      </c>
      <c r="D40" s="76">
        <f t="shared" si="16"/>
        <v>1053923.3333333333</v>
      </c>
      <c r="E40" s="76">
        <v>455750</v>
      </c>
      <c r="F40" s="76">
        <v>420490</v>
      </c>
      <c r="G40" s="76">
        <v>585600</v>
      </c>
      <c r="H40" s="76">
        <f>SUM(H41:H43)</f>
        <v>749908.3</v>
      </c>
      <c r="I40" s="76">
        <v>500000</v>
      </c>
      <c r="J40" s="76"/>
      <c r="K40" s="76"/>
      <c r="L40" s="76">
        <f t="shared" si="15"/>
        <v>500000</v>
      </c>
      <c r="M40" s="76">
        <v>660200</v>
      </c>
      <c r="N40" s="76">
        <f t="shared" si="1"/>
        <v>160200</v>
      </c>
      <c r="O40" s="76">
        <f>M40/L40*100</f>
        <v>132.04</v>
      </c>
      <c r="P40" s="76">
        <f>2858714.5-2108715.5</f>
        <v>749999</v>
      </c>
      <c r="Q40" s="76"/>
      <c r="R40" s="76">
        <f t="shared" si="11"/>
        <v>749999</v>
      </c>
      <c r="S40" s="76"/>
      <c r="T40" s="76">
        <v>483760</v>
      </c>
      <c r="U40" s="76">
        <v>-483760</v>
      </c>
      <c r="V40" s="76"/>
      <c r="W40" s="76"/>
      <c r="X40" s="76">
        <f t="shared" si="12"/>
        <v>749999</v>
      </c>
      <c r="Y40" s="76"/>
      <c r="Z40" s="76">
        <f>SUM(Z41:Z42)</f>
        <v>1000000</v>
      </c>
      <c r="AA40" s="76"/>
      <c r="AB40" s="76"/>
      <c r="AC40" s="76"/>
      <c r="AD40" s="76">
        <f t="shared" si="13"/>
        <v>1000000</v>
      </c>
      <c r="AE40" s="76">
        <f>SUM(AE41:AE42)+AE43</f>
        <v>1592401</v>
      </c>
      <c r="AF40" s="76"/>
      <c r="AG40" s="76">
        <v>310699</v>
      </c>
      <c r="AH40" s="76">
        <f>AE40+AF40+AG40</f>
        <v>1903100</v>
      </c>
      <c r="AI40" s="75">
        <f>AI41+AI42</f>
        <v>4652079.8</v>
      </c>
      <c r="AJ40" s="75">
        <f>AJ41+AJ42</f>
        <v>1349666.4849999999</v>
      </c>
      <c r="AK40" s="74">
        <f>AK41+AK42+AK43</f>
        <v>749121.2</v>
      </c>
      <c r="AL40" s="73">
        <f>AL41+AL42+AL43</f>
        <v>749121.2</v>
      </c>
      <c r="AM40" s="74">
        <f>AM41+AM42+AM43</f>
        <v>0</v>
      </c>
      <c r="AN40" s="74">
        <f>AN41+AN42+AN43</f>
        <v>749121.2</v>
      </c>
    </row>
    <row r="41" spans="1:40" s="2" customFormat="1" ht="20.399999999999999" x14ac:dyDescent="0.2">
      <c r="A41" s="3"/>
      <c r="B41" s="72" t="s">
        <v>284</v>
      </c>
      <c r="C41" s="43">
        <v>4000000</v>
      </c>
      <c r="D41" s="43">
        <f t="shared" si="16"/>
        <v>333333.33333333331</v>
      </c>
      <c r="E41" s="43"/>
      <c r="F41" s="43"/>
      <c r="G41" s="43"/>
      <c r="H41" s="43">
        <v>338899.3</v>
      </c>
      <c r="I41" s="43">
        <v>200000</v>
      </c>
      <c r="J41" s="43"/>
      <c r="K41" s="43"/>
      <c r="L41" s="43">
        <f t="shared" si="15"/>
        <v>200000</v>
      </c>
      <c r="M41" s="43"/>
      <c r="N41" s="43"/>
      <c r="O41" s="43">
        <f>M41/L41*100</f>
        <v>0</v>
      </c>
      <c r="P41" s="43">
        <v>333333</v>
      </c>
      <c r="Q41" s="43"/>
      <c r="R41" s="43">
        <f t="shared" si="11"/>
        <v>333333</v>
      </c>
      <c r="S41" s="43"/>
      <c r="T41" s="43"/>
      <c r="U41" s="43"/>
      <c r="V41" s="43"/>
      <c r="W41" s="43"/>
      <c r="X41" s="43">
        <f t="shared" si="12"/>
        <v>333333</v>
      </c>
      <c r="Y41" s="43"/>
      <c r="Z41" s="43">
        <v>634053.6</v>
      </c>
      <c r="AA41" s="43"/>
      <c r="AB41" s="43"/>
      <c r="AC41" s="43"/>
      <c r="AD41" s="43">
        <f t="shared" si="13"/>
        <v>634053.6</v>
      </c>
      <c r="AE41" s="43">
        <v>333333</v>
      </c>
      <c r="AF41" s="43"/>
      <c r="AG41" s="43">
        <v>310699</v>
      </c>
      <c r="AH41" s="43">
        <f>AE41+AF41+AG41</f>
        <v>644032</v>
      </c>
      <c r="AI41" s="71">
        <v>699389.7</v>
      </c>
      <c r="AJ41" s="70">
        <v>521493.08100000001</v>
      </c>
      <c r="AK41" s="100">
        <v>335609.2</v>
      </c>
      <c r="AL41" s="12">
        <v>335609.2</v>
      </c>
      <c r="AM41" s="100"/>
      <c r="AN41" s="100">
        <v>335609.2</v>
      </c>
    </row>
    <row r="42" spans="1:40" s="2" customFormat="1" ht="20.399999999999999" x14ac:dyDescent="0.2">
      <c r="A42" s="3"/>
      <c r="B42" s="72" t="s">
        <v>283</v>
      </c>
      <c r="C42" s="43">
        <v>6000000</v>
      </c>
      <c r="D42" s="43">
        <f t="shared" si="16"/>
        <v>500000</v>
      </c>
      <c r="E42" s="43"/>
      <c r="F42" s="43"/>
      <c r="G42" s="43"/>
      <c r="H42" s="43">
        <v>411009</v>
      </c>
      <c r="I42" s="43">
        <v>300000</v>
      </c>
      <c r="J42" s="43"/>
      <c r="K42" s="43"/>
      <c r="L42" s="43">
        <f t="shared" si="15"/>
        <v>300000</v>
      </c>
      <c r="M42" s="43"/>
      <c r="N42" s="43"/>
      <c r="O42" s="43">
        <f>M42/L42*100</f>
        <v>0</v>
      </c>
      <c r="P42" s="43">
        <v>416666</v>
      </c>
      <c r="Q42" s="43"/>
      <c r="R42" s="43">
        <f t="shared" si="11"/>
        <v>416666</v>
      </c>
      <c r="S42" s="43"/>
      <c r="T42" s="43"/>
      <c r="U42" s="43"/>
      <c r="V42" s="43"/>
      <c r="W42" s="43"/>
      <c r="X42" s="43">
        <f t="shared" si="12"/>
        <v>416666</v>
      </c>
      <c r="Y42" s="43"/>
      <c r="Z42" s="43">
        <v>365946.4</v>
      </c>
      <c r="AA42" s="43"/>
      <c r="AB42" s="43"/>
      <c r="AC42" s="43"/>
      <c r="AD42" s="43">
        <f t="shared" si="13"/>
        <v>365946.4</v>
      </c>
      <c r="AE42" s="43">
        <v>416668</v>
      </c>
      <c r="AF42" s="43"/>
      <c r="AG42" s="43"/>
      <c r="AH42" s="43">
        <f>AE42+AF42</f>
        <v>416668</v>
      </c>
      <c r="AI42" s="71">
        <v>3952690.1</v>
      </c>
      <c r="AJ42" s="70">
        <v>828173.40399999998</v>
      </c>
      <c r="AK42" s="100">
        <v>413512</v>
      </c>
      <c r="AL42" s="12">
        <v>413512</v>
      </c>
      <c r="AM42" s="100"/>
      <c r="AN42" s="100">
        <v>413512</v>
      </c>
    </row>
    <row r="43" spans="1:40" s="2" customFormat="1" ht="10.199999999999999" x14ac:dyDescent="0.2">
      <c r="A43" s="3"/>
      <c r="B43" s="72" t="s">
        <v>282</v>
      </c>
      <c r="C43" s="43">
        <f>SUM(C44:C49)</f>
        <v>2647080</v>
      </c>
      <c r="D43" s="43">
        <f t="shared" si="16"/>
        <v>220590</v>
      </c>
      <c r="E43" s="43"/>
      <c r="F43" s="43"/>
      <c r="G43" s="43"/>
      <c r="H43" s="43"/>
      <c r="I43" s="43"/>
      <c r="J43" s="43"/>
      <c r="K43" s="43"/>
      <c r="L43" s="43">
        <f t="shared" si="15"/>
        <v>0</v>
      </c>
      <c r="M43" s="43"/>
      <c r="N43" s="43">
        <f t="shared" ref="N43:N50" si="17">M43-L43</f>
        <v>0</v>
      </c>
      <c r="O43" s="43"/>
      <c r="P43" s="43"/>
      <c r="Q43" s="43"/>
      <c r="R43" s="43">
        <f t="shared" si="11"/>
        <v>0</v>
      </c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>
        <f>AE44</f>
        <v>842400</v>
      </c>
      <c r="AF43" s="43"/>
      <c r="AG43" s="43"/>
      <c r="AH43" s="43">
        <f>AE43+AF43</f>
        <v>842400</v>
      </c>
      <c r="AI43" s="71">
        <v>842400</v>
      </c>
      <c r="AJ43" s="70"/>
      <c r="AK43" s="100"/>
      <c r="AL43" s="12"/>
      <c r="AM43" s="100"/>
      <c r="AN43" s="100"/>
    </row>
    <row r="44" spans="1:40" s="2" customFormat="1" ht="22.5" customHeight="1" x14ac:dyDescent="0.2">
      <c r="A44" s="3"/>
      <c r="B44" s="72" t="s">
        <v>281</v>
      </c>
      <c r="C44" s="43">
        <v>1684800</v>
      </c>
      <c r="D44" s="43">
        <f t="shared" si="16"/>
        <v>140400</v>
      </c>
      <c r="E44" s="43"/>
      <c r="F44" s="43"/>
      <c r="G44" s="43"/>
      <c r="H44" s="43"/>
      <c r="I44" s="43"/>
      <c r="J44" s="43"/>
      <c r="K44" s="43"/>
      <c r="L44" s="43">
        <f t="shared" si="15"/>
        <v>0</v>
      </c>
      <c r="M44" s="43"/>
      <c r="N44" s="43">
        <f t="shared" si="17"/>
        <v>0</v>
      </c>
      <c r="O44" s="43"/>
      <c r="P44" s="43"/>
      <c r="Q44" s="43"/>
      <c r="R44" s="43">
        <f t="shared" si="11"/>
        <v>0</v>
      </c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>
        <v>842400</v>
      </c>
      <c r="AF44" s="43"/>
      <c r="AG44" s="43"/>
      <c r="AH44" s="43">
        <f>AE44+AF44</f>
        <v>842400</v>
      </c>
      <c r="AI44" s="71">
        <v>842400</v>
      </c>
      <c r="AJ44" s="70"/>
      <c r="AK44" s="100"/>
      <c r="AL44" s="12"/>
      <c r="AM44" s="100"/>
      <c r="AN44" s="100"/>
    </row>
    <row r="45" spans="1:40" s="2" customFormat="1" ht="10.199999999999999" x14ac:dyDescent="0.2">
      <c r="A45" s="3"/>
      <c r="B45" s="72" t="s">
        <v>280</v>
      </c>
      <c r="C45" s="43"/>
      <c r="D45" s="43"/>
      <c r="E45" s="43"/>
      <c r="F45" s="43"/>
      <c r="G45" s="43"/>
      <c r="H45" s="43"/>
      <c r="I45" s="43"/>
      <c r="J45" s="43"/>
      <c r="K45" s="43"/>
      <c r="L45" s="43">
        <f t="shared" si="15"/>
        <v>0</v>
      </c>
      <c r="M45" s="43"/>
      <c r="N45" s="43">
        <f t="shared" si="17"/>
        <v>0</v>
      </c>
      <c r="O45" s="43"/>
      <c r="P45" s="43"/>
      <c r="Q45" s="43"/>
      <c r="R45" s="43">
        <f t="shared" si="11"/>
        <v>0</v>
      </c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>
        <f t="shared" ref="AE45:AE50" si="18">SUM(Y45:AB45)</f>
        <v>0</v>
      </c>
      <c r="AF45" s="43"/>
      <c r="AG45" s="43"/>
      <c r="AH45" s="43"/>
      <c r="AI45" s="71"/>
      <c r="AJ45" s="70"/>
      <c r="AK45" s="100"/>
      <c r="AL45" s="12"/>
      <c r="AM45" s="100"/>
      <c r="AN45" s="100"/>
    </row>
    <row r="46" spans="1:40" s="2" customFormat="1" ht="20.399999999999999" x14ac:dyDescent="0.2">
      <c r="A46" s="3"/>
      <c r="B46" s="72" t="s">
        <v>279</v>
      </c>
      <c r="C46" s="43">
        <v>855360</v>
      </c>
      <c r="D46" s="43">
        <f>C46/12</f>
        <v>71280</v>
      </c>
      <c r="E46" s="43"/>
      <c r="F46" s="43"/>
      <c r="G46" s="43"/>
      <c r="H46" s="43"/>
      <c r="I46" s="43"/>
      <c r="J46" s="43"/>
      <c r="K46" s="43"/>
      <c r="L46" s="43">
        <f t="shared" si="15"/>
        <v>0</v>
      </c>
      <c r="M46" s="43"/>
      <c r="N46" s="43">
        <f t="shared" si="17"/>
        <v>0</v>
      </c>
      <c r="O46" s="43"/>
      <c r="P46" s="43"/>
      <c r="Q46" s="43"/>
      <c r="R46" s="43">
        <f t="shared" si="11"/>
        <v>0</v>
      </c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>
        <f t="shared" si="18"/>
        <v>0</v>
      </c>
      <c r="AF46" s="43"/>
      <c r="AG46" s="43"/>
      <c r="AH46" s="43"/>
      <c r="AI46" s="71"/>
      <c r="AJ46" s="70"/>
      <c r="AK46" s="100"/>
      <c r="AL46" s="12"/>
      <c r="AM46" s="100"/>
      <c r="AN46" s="100"/>
    </row>
    <row r="47" spans="1:40" s="2" customFormat="1" ht="10.199999999999999" x14ac:dyDescent="0.2">
      <c r="A47" s="3"/>
      <c r="B47" s="72" t="s">
        <v>278</v>
      </c>
      <c r="C47" s="43"/>
      <c r="D47" s="43"/>
      <c r="E47" s="43"/>
      <c r="F47" s="43"/>
      <c r="G47" s="43"/>
      <c r="H47" s="43"/>
      <c r="I47" s="43"/>
      <c r="J47" s="43"/>
      <c r="K47" s="43"/>
      <c r="L47" s="43">
        <f t="shared" si="15"/>
        <v>0</v>
      </c>
      <c r="M47" s="43"/>
      <c r="N47" s="43">
        <f t="shared" si="17"/>
        <v>0</v>
      </c>
      <c r="O47" s="43"/>
      <c r="P47" s="43"/>
      <c r="Q47" s="43"/>
      <c r="R47" s="43">
        <f t="shared" si="11"/>
        <v>0</v>
      </c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>
        <f t="shared" si="18"/>
        <v>0</v>
      </c>
      <c r="AF47" s="43"/>
      <c r="AG47" s="43"/>
      <c r="AH47" s="43"/>
      <c r="AI47" s="71"/>
      <c r="AJ47" s="70"/>
      <c r="AK47" s="100"/>
      <c r="AL47" s="12"/>
      <c r="AM47" s="100"/>
      <c r="AN47" s="100"/>
    </row>
    <row r="48" spans="1:40" s="2" customFormat="1" ht="10.199999999999999" x14ac:dyDescent="0.2">
      <c r="A48" s="3"/>
      <c r="B48" s="72" t="s">
        <v>277</v>
      </c>
      <c r="C48" s="43"/>
      <c r="D48" s="43"/>
      <c r="E48" s="43"/>
      <c r="F48" s="43"/>
      <c r="G48" s="43"/>
      <c r="H48" s="43"/>
      <c r="I48" s="43"/>
      <c r="J48" s="43"/>
      <c r="K48" s="43"/>
      <c r="L48" s="43">
        <f t="shared" si="15"/>
        <v>0</v>
      </c>
      <c r="M48" s="43"/>
      <c r="N48" s="43">
        <f t="shared" si="17"/>
        <v>0</v>
      </c>
      <c r="O48" s="43"/>
      <c r="P48" s="43"/>
      <c r="Q48" s="43"/>
      <c r="R48" s="43">
        <f t="shared" si="11"/>
        <v>0</v>
      </c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>
        <f t="shared" si="18"/>
        <v>0</v>
      </c>
      <c r="AF48" s="43"/>
      <c r="AG48" s="43"/>
      <c r="AH48" s="43"/>
      <c r="AI48" s="71"/>
      <c r="AJ48" s="70"/>
      <c r="AK48" s="100"/>
      <c r="AL48" s="12"/>
      <c r="AM48" s="100"/>
      <c r="AN48" s="100"/>
    </row>
    <row r="49" spans="1:40" s="2" customFormat="1" ht="10.199999999999999" x14ac:dyDescent="0.2">
      <c r="A49" s="3"/>
      <c r="B49" s="72" t="s">
        <v>276</v>
      </c>
      <c r="C49" s="43">
        <v>106920</v>
      </c>
      <c r="D49" s="43">
        <f>C49/12</f>
        <v>8910</v>
      </c>
      <c r="E49" s="43"/>
      <c r="F49" s="43"/>
      <c r="G49" s="43"/>
      <c r="H49" s="43"/>
      <c r="I49" s="43"/>
      <c r="J49" s="43"/>
      <c r="K49" s="43"/>
      <c r="L49" s="43">
        <f t="shared" si="15"/>
        <v>0</v>
      </c>
      <c r="M49" s="43"/>
      <c r="N49" s="43">
        <f t="shared" si="17"/>
        <v>0</v>
      </c>
      <c r="O49" s="43"/>
      <c r="P49" s="43"/>
      <c r="Q49" s="43"/>
      <c r="R49" s="43">
        <f t="shared" si="11"/>
        <v>0</v>
      </c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>
        <f t="shared" si="18"/>
        <v>0</v>
      </c>
      <c r="AF49" s="43"/>
      <c r="AG49" s="43"/>
      <c r="AH49" s="43"/>
      <c r="AI49" s="71"/>
      <c r="AJ49" s="70"/>
      <c r="AK49" s="100"/>
      <c r="AL49" s="12"/>
      <c r="AM49" s="100"/>
      <c r="AN49" s="100"/>
    </row>
    <row r="50" spans="1:40" s="2" customFormat="1" ht="10.199999999999999" x14ac:dyDescent="0.2">
      <c r="A50" s="3"/>
      <c r="B50" s="69" t="s">
        <v>275</v>
      </c>
      <c r="C50" s="35">
        <v>3184000</v>
      </c>
      <c r="D50" s="35">
        <f>C50/12</f>
        <v>265333.33333333331</v>
      </c>
      <c r="E50" s="35"/>
      <c r="F50" s="35"/>
      <c r="G50" s="35"/>
      <c r="H50" s="35">
        <v>3184000</v>
      </c>
      <c r="I50" s="35"/>
      <c r="J50" s="35"/>
      <c r="K50" s="35"/>
      <c r="L50" s="68">
        <f t="shared" si="15"/>
        <v>0</v>
      </c>
      <c r="M50" s="68"/>
      <c r="N50" s="68">
        <f t="shared" si="17"/>
        <v>0</v>
      </c>
      <c r="O50" s="68"/>
      <c r="P50" s="68"/>
      <c r="Q50" s="68"/>
      <c r="R50" s="68">
        <f t="shared" si="11"/>
        <v>0</v>
      </c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>
        <f t="shared" si="18"/>
        <v>0</v>
      </c>
      <c r="AF50" s="68"/>
      <c r="AG50" s="68"/>
      <c r="AH50" s="68"/>
      <c r="AI50" s="67"/>
      <c r="AJ50" s="66"/>
      <c r="AK50" s="100"/>
      <c r="AL50" s="12"/>
      <c r="AM50" s="100"/>
      <c r="AN50" s="100"/>
    </row>
    <row r="51" spans="1:40" s="2" customFormat="1" ht="13.2" x14ac:dyDescent="0.25">
      <c r="A51" s="3"/>
      <c r="B51" s="7"/>
      <c r="C51" s="7"/>
      <c r="D51" s="7"/>
      <c r="E51" s="7"/>
      <c r="F51" s="7"/>
      <c r="G51" s="7"/>
      <c r="H51" s="6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5"/>
      <c r="AD51" s="3"/>
      <c r="AE51" s="3"/>
      <c r="AF51" s="3"/>
      <c r="AG51" s="3"/>
      <c r="AH51" s="3"/>
      <c r="AI51" s="3"/>
      <c r="AJ51" s="4"/>
      <c r="AK51" s="96"/>
      <c r="AL51" s="20"/>
      <c r="AM51" s="96"/>
      <c r="AN51" s="96"/>
    </row>
    <row r="52" spans="1:40" s="18" customFormat="1" ht="13.2" hidden="1" x14ac:dyDescent="0.25">
      <c r="A52" s="20"/>
      <c r="B52" s="27"/>
      <c r="C52" s="27"/>
      <c r="D52" s="27"/>
      <c r="E52" s="27"/>
      <c r="F52" s="27"/>
      <c r="G52" s="27"/>
      <c r="H52" s="26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1"/>
      <c r="AD52" s="20"/>
      <c r="AE52" s="20"/>
      <c r="AF52" s="20"/>
      <c r="AG52" s="20"/>
      <c r="AH52" s="20"/>
      <c r="AI52" s="20"/>
      <c r="AJ52" s="19"/>
      <c r="AK52" s="96"/>
      <c r="AL52" s="20"/>
      <c r="AM52" s="96"/>
      <c r="AN52" s="96"/>
    </row>
    <row r="53" spans="1:40" s="18" customFormat="1" ht="13.2" hidden="1" x14ac:dyDescent="0.25">
      <c r="A53" s="20"/>
      <c r="B53" s="27"/>
      <c r="C53" s="27"/>
      <c r="D53" s="27"/>
      <c r="E53" s="27"/>
      <c r="F53" s="27"/>
      <c r="G53" s="27"/>
      <c r="H53" s="26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1"/>
      <c r="AD53" s="20"/>
      <c r="AE53" s="20"/>
      <c r="AF53" s="20"/>
      <c r="AG53" s="20"/>
      <c r="AH53" s="20"/>
      <c r="AI53" s="20"/>
      <c r="AJ53" s="19"/>
      <c r="AK53" s="96"/>
      <c r="AL53" s="20"/>
      <c r="AM53" s="96"/>
      <c r="AN53" s="96"/>
    </row>
    <row r="54" spans="1:40" s="18" customFormat="1" ht="13.2" hidden="1" x14ac:dyDescent="0.25">
      <c r="A54" s="20"/>
      <c r="B54" s="27"/>
      <c r="C54" s="27"/>
      <c r="D54" s="27"/>
      <c r="E54" s="27"/>
      <c r="F54" s="27"/>
      <c r="G54" s="27"/>
      <c r="H54" s="26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1"/>
      <c r="AD54" s="20"/>
      <c r="AE54" s="20"/>
      <c r="AF54" s="20"/>
      <c r="AG54" s="20"/>
      <c r="AH54" s="20"/>
      <c r="AI54" s="20"/>
      <c r="AJ54" s="19"/>
      <c r="AK54" s="96"/>
      <c r="AL54" s="20"/>
      <c r="AM54" s="96"/>
      <c r="AN54" s="96"/>
    </row>
    <row r="55" spans="1:40" s="18" customFormat="1" ht="13.2" hidden="1" x14ac:dyDescent="0.25">
      <c r="A55" s="20"/>
      <c r="B55" s="27"/>
      <c r="C55" s="27"/>
      <c r="D55" s="27"/>
      <c r="E55" s="27"/>
      <c r="F55" s="27"/>
      <c r="G55" s="27"/>
      <c r="H55" s="26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1"/>
      <c r="AD55" s="20"/>
      <c r="AE55" s="20"/>
      <c r="AF55" s="20"/>
      <c r="AG55" s="20"/>
      <c r="AH55" s="20"/>
      <c r="AI55" s="20"/>
      <c r="AJ55" s="19"/>
      <c r="AK55" s="96"/>
      <c r="AL55" s="20"/>
      <c r="AM55" s="96"/>
      <c r="AN55" s="96"/>
    </row>
    <row r="56" spans="1:40" s="18" customFormat="1" ht="13.2" hidden="1" x14ac:dyDescent="0.25">
      <c r="A56" s="20"/>
      <c r="B56" s="27"/>
      <c r="C56" s="27"/>
      <c r="D56" s="27"/>
      <c r="E56" s="27"/>
      <c r="F56" s="27"/>
      <c r="G56" s="27"/>
      <c r="H56" s="26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1"/>
      <c r="AD56" s="20"/>
      <c r="AE56" s="20"/>
      <c r="AF56" s="20"/>
      <c r="AG56" s="20"/>
      <c r="AH56" s="20"/>
      <c r="AI56" s="20"/>
      <c r="AJ56" s="19"/>
      <c r="AK56" s="96"/>
      <c r="AL56" s="20"/>
      <c r="AM56" s="96"/>
      <c r="AN56" s="96"/>
    </row>
    <row r="57" spans="1:40" s="18" customFormat="1" ht="13.2" hidden="1" x14ac:dyDescent="0.25">
      <c r="A57" s="20"/>
      <c r="B57" s="27"/>
      <c r="C57" s="27"/>
      <c r="D57" s="27"/>
      <c r="E57" s="27"/>
      <c r="F57" s="27"/>
      <c r="G57" s="27"/>
      <c r="H57" s="26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1"/>
      <c r="AD57" s="20"/>
      <c r="AE57" s="20"/>
      <c r="AF57" s="20"/>
      <c r="AG57" s="20"/>
      <c r="AH57" s="20"/>
      <c r="AI57" s="20"/>
      <c r="AJ57" s="19"/>
      <c r="AK57" s="96"/>
      <c r="AL57" s="20"/>
      <c r="AM57" s="96"/>
      <c r="AN57" s="96"/>
    </row>
    <row r="58" spans="1:40" s="18" customFormat="1" ht="13.2" x14ac:dyDescent="0.25">
      <c r="A58" s="20"/>
      <c r="B58" s="27"/>
      <c r="C58" s="27"/>
      <c r="D58" s="27"/>
      <c r="E58" s="27"/>
      <c r="F58" s="27"/>
      <c r="G58" s="27"/>
      <c r="H58" s="26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1"/>
      <c r="AD58" s="20"/>
      <c r="AE58" s="20"/>
      <c r="AF58" s="20"/>
      <c r="AG58" s="20"/>
      <c r="AH58" s="20"/>
      <c r="AI58" s="20"/>
      <c r="AJ58" s="19"/>
      <c r="AK58" s="96"/>
      <c r="AL58" s="20"/>
      <c r="AM58" s="96"/>
      <c r="AN58" s="96"/>
    </row>
    <row r="59" spans="1:40" s="18" customFormat="1" ht="13.2" x14ac:dyDescent="0.25">
      <c r="A59" s="20"/>
      <c r="B59" s="27"/>
      <c r="C59" s="27"/>
      <c r="D59" s="27"/>
      <c r="E59" s="27"/>
      <c r="F59" s="27"/>
      <c r="G59" s="27"/>
      <c r="H59" s="26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1"/>
      <c r="AD59" s="20"/>
      <c r="AE59" s="20"/>
      <c r="AF59" s="20"/>
      <c r="AG59" s="20"/>
      <c r="AH59" s="20"/>
      <c r="AI59" s="20"/>
      <c r="AJ59" s="19"/>
      <c r="AK59" s="96"/>
      <c r="AL59" s="20"/>
      <c r="AM59" s="96"/>
      <c r="AN59" s="96"/>
    </row>
    <row r="60" spans="1:40" s="18" customFormat="1" ht="13.2" x14ac:dyDescent="0.25">
      <c r="A60" s="20"/>
      <c r="B60" s="27"/>
      <c r="C60" s="27"/>
      <c r="D60" s="27"/>
      <c r="E60" s="27"/>
      <c r="F60" s="27"/>
      <c r="G60" s="27"/>
      <c r="H60" s="26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1"/>
      <c r="AD60" s="20"/>
      <c r="AE60" s="20"/>
      <c r="AF60" s="20"/>
      <c r="AG60" s="20"/>
      <c r="AH60" s="20"/>
      <c r="AI60" s="20"/>
      <c r="AJ60" s="19"/>
      <c r="AK60" s="96"/>
      <c r="AL60" s="20"/>
      <c r="AM60" s="96"/>
      <c r="AN60" s="96"/>
    </row>
    <row r="61" spans="1:40" s="18" customFormat="1" ht="13.2" x14ac:dyDescent="0.25">
      <c r="A61" s="20"/>
      <c r="B61" s="27"/>
      <c r="C61" s="27"/>
      <c r="D61" s="27"/>
      <c r="E61" s="27"/>
      <c r="F61" s="27"/>
      <c r="G61" s="27"/>
      <c r="H61" s="26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1"/>
      <c r="AD61" s="20"/>
      <c r="AE61" s="20"/>
      <c r="AF61" s="20"/>
      <c r="AG61" s="20"/>
      <c r="AH61" s="20"/>
      <c r="AI61" s="20"/>
      <c r="AJ61" s="19"/>
      <c r="AK61" s="96"/>
      <c r="AL61" s="20"/>
      <c r="AM61" s="96"/>
      <c r="AN61" s="96"/>
    </row>
    <row r="62" spans="1:40" s="18" customFormat="1" ht="13.2" x14ac:dyDescent="0.25">
      <c r="A62" s="20"/>
      <c r="B62" s="27"/>
      <c r="C62" s="27"/>
      <c r="D62" s="27"/>
      <c r="E62" s="27"/>
      <c r="F62" s="27"/>
      <c r="G62" s="27"/>
      <c r="H62" s="26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1"/>
      <c r="AD62" s="20"/>
      <c r="AE62" s="20"/>
      <c r="AF62" s="20"/>
      <c r="AG62" s="20"/>
      <c r="AH62" s="20"/>
      <c r="AI62" s="20"/>
      <c r="AJ62" s="19"/>
      <c r="AK62" s="96"/>
      <c r="AL62" s="20"/>
      <c r="AM62" s="96"/>
      <c r="AN62" s="96"/>
    </row>
    <row r="63" spans="1:40" s="18" customFormat="1" ht="13.2" x14ac:dyDescent="0.25">
      <c r="A63" s="65"/>
      <c r="B63" s="144"/>
      <c r="C63" s="144"/>
      <c r="D63" s="144"/>
      <c r="E63" s="144"/>
      <c r="F63" s="144"/>
      <c r="G63" s="144"/>
      <c r="H63" s="144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5"/>
      <c r="AD63" s="3"/>
      <c r="AE63" s="3"/>
      <c r="AF63" s="3"/>
      <c r="AG63" s="3"/>
      <c r="AH63" s="3"/>
      <c r="AJ63" s="4"/>
      <c r="AK63" s="96"/>
      <c r="AL63" s="84" t="s">
        <v>274</v>
      </c>
      <c r="AM63" s="96"/>
      <c r="AN63" s="96"/>
    </row>
    <row r="64" spans="1:40" s="18" customFormat="1" ht="30.6" x14ac:dyDescent="0.25">
      <c r="A64" s="64" t="s">
        <v>273</v>
      </c>
      <c r="B64" s="63" t="s">
        <v>272</v>
      </c>
      <c r="C64" s="62" t="s">
        <v>271</v>
      </c>
      <c r="D64" s="62" t="s">
        <v>270</v>
      </c>
      <c r="E64" s="60" t="s">
        <v>269</v>
      </c>
      <c r="F64" s="60" t="s">
        <v>268</v>
      </c>
      <c r="G64" s="62" t="s">
        <v>267</v>
      </c>
      <c r="H64" s="62" t="s">
        <v>266</v>
      </c>
      <c r="I64" s="62" t="s">
        <v>265</v>
      </c>
      <c r="J64" s="62" t="s">
        <v>265</v>
      </c>
      <c r="K64" s="62" t="s">
        <v>265</v>
      </c>
      <c r="L64" s="62" t="s">
        <v>264</v>
      </c>
      <c r="M64" s="60" t="s">
        <v>263</v>
      </c>
      <c r="N64" s="62" t="s">
        <v>262</v>
      </c>
      <c r="O64" s="62" t="s">
        <v>261</v>
      </c>
      <c r="P64" s="62" t="s">
        <v>260</v>
      </c>
      <c r="Q64" s="62" t="s">
        <v>259</v>
      </c>
      <c r="R64" s="62" t="s">
        <v>258</v>
      </c>
      <c r="S64" s="62" t="s">
        <v>257</v>
      </c>
      <c r="T64" s="62" t="s">
        <v>256</v>
      </c>
      <c r="U64" s="62" t="s">
        <v>255</v>
      </c>
      <c r="V64" s="62" t="s">
        <v>254</v>
      </c>
      <c r="W64" s="62" t="s">
        <v>253</v>
      </c>
      <c r="X64" s="60" t="s">
        <v>252</v>
      </c>
      <c r="Y64" s="62" t="s">
        <v>251</v>
      </c>
      <c r="Z64" s="62" t="s">
        <v>250</v>
      </c>
      <c r="AA64" s="62" t="s">
        <v>249</v>
      </c>
      <c r="AB64" s="62" t="s">
        <v>248</v>
      </c>
      <c r="AC64" s="61" t="s">
        <v>247</v>
      </c>
      <c r="AD64" s="60" t="s">
        <v>246</v>
      </c>
      <c r="AE64" s="62" t="s">
        <v>245</v>
      </c>
      <c r="AF64" s="61" t="s">
        <v>244</v>
      </c>
      <c r="AG64" s="61" t="s">
        <v>244</v>
      </c>
      <c r="AH64" s="60" t="s">
        <v>243</v>
      </c>
      <c r="AI64" s="59" t="s">
        <v>242</v>
      </c>
      <c r="AJ64" s="59" t="s">
        <v>241</v>
      </c>
      <c r="AK64" s="101" t="s">
        <v>345</v>
      </c>
      <c r="AL64" s="58" t="s">
        <v>240</v>
      </c>
      <c r="AM64" s="101" t="s">
        <v>346</v>
      </c>
      <c r="AN64" s="101" t="s">
        <v>328</v>
      </c>
    </row>
    <row r="65" spans="1:40" s="18" customFormat="1" ht="13.2" x14ac:dyDescent="0.25">
      <c r="A65" s="46">
        <v>11110</v>
      </c>
      <c r="B65" s="45" t="s">
        <v>239</v>
      </c>
      <c r="C65" s="43">
        <v>571048.4</v>
      </c>
      <c r="D65" s="43">
        <f t="shared" ref="D65:D99" si="19">C65/12</f>
        <v>47587.366666666669</v>
      </c>
      <c r="E65" s="43">
        <v>52640</v>
      </c>
      <c r="F65" s="43">
        <v>46685.1</v>
      </c>
      <c r="G65" s="43">
        <f t="shared" ref="G65:G99" si="20">C65*23.3/100</f>
        <v>133054.27720000001</v>
      </c>
      <c r="H65" s="44">
        <f>(E65+F65)/(8725103.2+9421212.6)*100</f>
        <v>0.54735683592589091</v>
      </c>
      <c r="I65" s="43">
        <f>7990664.7*H65/100+3850</f>
        <v>47587.449471367087</v>
      </c>
      <c r="J65" s="43"/>
      <c r="K65" s="43"/>
      <c r="L65" s="43">
        <f>SUM(I65:K65)-276</f>
        <v>47311.449471367087</v>
      </c>
      <c r="M65" s="43">
        <v>29528.1</v>
      </c>
      <c r="N65" s="43">
        <f t="shared" ref="N65:N99" si="21">M65-L65</f>
        <v>-17783.349471367088</v>
      </c>
      <c r="O65" s="43">
        <f t="shared" ref="O65:O99" si="22">M65/L65*100</f>
        <v>62.412165194537991</v>
      </c>
      <c r="P65" s="43">
        <v>161966</v>
      </c>
      <c r="Q65" s="44">
        <f t="shared" ref="Q65:Q99" si="23">P65/24509630.1*100</f>
        <v>0.66082596652488845</v>
      </c>
      <c r="R65" s="43">
        <f t="shared" ref="R65:R99" si="24">6201897*Q65/100</f>
        <v>40983.745793128059</v>
      </c>
      <c r="S65" s="43">
        <v>9200</v>
      </c>
      <c r="T65" s="43"/>
      <c r="U65" s="43"/>
      <c r="V65" s="43"/>
      <c r="W65" s="43"/>
      <c r="X65" s="43">
        <f t="shared" ref="X65:X96" si="25">SUM(R65:V65)</f>
        <v>50183.745793128059</v>
      </c>
      <c r="Y65" s="43">
        <v>40919</v>
      </c>
      <c r="Z65" s="43">
        <f>Y65</f>
        <v>40919</v>
      </c>
      <c r="AA65" s="43"/>
      <c r="AB65" s="43"/>
      <c r="AC65" s="43"/>
      <c r="AD65" s="43">
        <f t="shared" ref="AD65:AD96" si="26">SUM(Z65:AC65)</f>
        <v>40919</v>
      </c>
      <c r="AE65" s="42">
        <f>54784.6</f>
        <v>54784.6</v>
      </c>
      <c r="AF65" s="42"/>
      <c r="AG65" s="42">
        <f>9655.5+2432.1+1500</f>
        <v>13587.6</v>
      </c>
      <c r="AH65" s="42">
        <f t="shared" ref="AH65:AH128" si="27">AE65+AF65+AG65</f>
        <v>68372.2</v>
      </c>
      <c r="AI65" s="41">
        <v>43937.4</v>
      </c>
      <c r="AJ65" s="40">
        <v>50000</v>
      </c>
      <c r="AK65" s="49">
        <f>51539.28-13000</f>
        <v>38539.279999999999</v>
      </c>
      <c r="AL65" s="39">
        <f>AK65</f>
        <v>38539.279999999999</v>
      </c>
      <c r="AM65" s="49"/>
      <c r="AN65" s="49">
        <f>AK65+AM65</f>
        <v>38539.279999999999</v>
      </c>
    </row>
    <row r="66" spans="1:40" s="18" customFormat="1" ht="13.2" x14ac:dyDescent="0.25">
      <c r="A66" s="46">
        <v>11210</v>
      </c>
      <c r="B66" s="45" t="s">
        <v>238</v>
      </c>
      <c r="C66" s="43">
        <f>71529+10008.6</f>
        <v>81537.600000000006</v>
      </c>
      <c r="D66" s="43">
        <f t="shared" si="19"/>
        <v>6794.8</v>
      </c>
      <c r="E66" s="43">
        <v>6800.8</v>
      </c>
      <c r="F66" s="43">
        <v>6469.3</v>
      </c>
      <c r="G66" s="43">
        <f t="shared" si="20"/>
        <v>18998.260800000004</v>
      </c>
      <c r="H66" s="44">
        <f>(E66+F66)/(8725103.2+9421212.6)*100</f>
        <v>7.3128342668873886E-2</v>
      </c>
      <c r="I66" s="43">
        <f>7990664.7*H66/100+951.4</f>
        <v>6794.8406633367431</v>
      </c>
      <c r="J66" s="43"/>
      <c r="K66" s="43"/>
      <c r="L66" s="43">
        <f>SUM(I66:K66)</f>
        <v>6794.8406633367431</v>
      </c>
      <c r="M66" s="43">
        <v>6794.8</v>
      </c>
      <c r="N66" s="43">
        <f t="shared" si="21"/>
        <v>-4.0663336742909451E-2</v>
      </c>
      <c r="O66" s="43">
        <f t="shared" si="22"/>
        <v>99.99940155569854</v>
      </c>
      <c r="P66" s="43">
        <v>24493.300000000003</v>
      </c>
      <c r="Q66" s="44">
        <f t="shared" si="23"/>
        <v>9.9933372719484673E-2</v>
      </c>
      <c r="R66" s="43">
        <f t="shared" si="24"/>
        <v>6197.7648446885378</v>
      </c>
      <c r="S66" s="43">
        <v>2900</v>
      </c>
      <c r="T66" s="43"/>
      <c r="U66" s="43"/>
      <c r="V66" s="43"/>
      <c r="W66" s="43"/>
      <c r="X66" s="43">
        <f t="shared" si="25"/>
        <v>9097.7648446885378</v>
      </c>
      <c r="Y66" s="43">
        <v>8048</v>
      </c>
      <c r="Z66" s="43">
        <f>Y66</f>
        <v>8048</v>
      </c>
      <c r="AA66" s="43"/>
      <c r="AB66" s="43"/>
      <c r="AC66" s="43"/>
      <c r="AD66" s="43">
        <f t="shared" si="26"/>
        <v>8048</v>
      </c>
      <c r="AE66" s="43">
        <v>9075.0999999999985</v>
      </c>
      <c r="AF66" s="43"/>
      <c r="AG66" s="43"/>
      <c r="AH66" s="42">
        <f t="shared" si="27"/>
        <v>9075.0999999999985</v>
      </c>
      <c r="AI66" s="41">
        <v>7115.3</v>
      </c>
      <c r="AJ66" s="40">
        <v>6888.9</v>
      </c>
      <c r="AK66" s="49">
        <f>6736.24-1100</f>
        <v>5636.24</v>
      </c>
      <c r="AL66" s="39">
        <f t="shared" ref="AL66:AL129" si="28">AK66</f>
        <v>5636.24</v>
      </c>
      <c r="AM66" s="49"/>
      <c r="AN66" s="49">
        <f t="shared" ref="AN66:AN129" si="29">AK66+AM66</f>
        <v>5636.24</v>
      </c>
    </row>
    <row r="67" spans="1:40" s="18" customFormat="1" ht="24" customHeight="1" x14ac:dyDescent="0.25">
      <c r="A67" s="46">
        <v>11220</v>
      </c>
      <c r="B67" s="45" t="s">
        <v>237</v>
      </c>
      <c r="C67" s="43">
        <v>1728</v>
      </c>
      <c r="D67" s="43">
        <f t="shared" si="19"/>
        <v>144</v>
      </c>
      <c r="E67" s="43"/>
      <c r="F67" s="43"/>
      <c r="G67" s="43">
        <f t="shared" si="20"/>
        <v>402.62400000000002</v>
      </c>
      <c r="H67" s="44">
        <v>1.9898199999999998E-3</v>
      </c>
      <c r="I67" s="43">
        <f>7990664.7*H67/100</f>
        <v>158.99984433353998</v>
      </c>
      <c r="J67" s="43"/>
      <c r="K67" s="43"/>
      <c r="L67" s="43">
        <f>SUM(I67:K67)</f>
        <v>158.99984433353998</v>
      </c>
      <c r="M67" s="43">
        <v>0</v>
      </c>
      <c r="N67" s="43">
        <f t="shared" si="21"/>
        <v>-158.99984433353998</v>
      </c>
      <c r="O67" s="43">
        <f t="shared" si="22"/>
        <v>0</v>
      </c>
      <c r="P67" s="43">
        <v>520.1</v>
      </c>
      <c r="Q67" s="44">
        <f t="shared" si="23"/>
        <v>2.1220230492177031E-3</v>
      </c>
      <c r="R67" s="43">
        <f t="shared" si="24"/>
        <v>131.60568382874126</v>
      </c>
      <c r="S67" s="43"/>
      <c r="T67" s="43"/>
      <c r="U67" s="43"/>
      <c r="V67" s="43"/>
      <c r="W67" s="43"/>
      <c r="X67" s="43">
        <f t="shared" si="25"/>
        <v>131.60568382874126</v>
      </c>
      <c r="Y67" s="43"/>
      <c r="Z67" s="43">
        <f>Y67</f>
        <v>0</v>
      </c>
      <c r="AA67" s="43"/>
      <c r="AB67" s="43"/>
      <c r="AC67" s="43"/>
      <c r="AD67" s="43">
        <f t="shared" si="26"/>
        <v>0</v>
      </c>
      <c r="AE67" s="43"/>
      <c r="AF67" s="43"/>
      <c r="AG67" s="43"/>
      <c r="AH67" s="42">
        <f t="shared" si="27"/>
        <v>0</v>
      </c>
      <c r="AI67" s="41"/>
      <c r="AJ67" s="40">
        <v>0</v>
      </c>
      <c r="AK67" s="49"/>
      <c r="AL67" s="39">
        <f t="shared" si="28"/>
        <v>0</v>
      </c>
      <c r="AM67" s="49"/>
      <c r="AN67" s="49">
        <f t="shared" si="29"/>
        <v>0</v>
      </c>
    </row>
    <row r="68" spans="1:40" s="18" customFormat="1" ht="13.2" x14ac:dyDescent="0.25">
      <c r="A68" s="46">
        <v>11310</v>
      </c>
      <c r="B68" s="45" t="s">
        <v>236</v>
      </c>
      <c r="C68" s="43">
        <v>100248.8</v>
      </c>
      <c r="D68" s="43">
        <f t="shared" si="19"/>
        <v>8354.0666666666675</v>
      </c>
      <c r="E68" s="43">
        <v>7672.9</v>
      </c>
      <c r="F68" s="43">
        <v>3890.9</v>
      </c>
      <c r="G68" s="43">
        <f t="shared" si="20"/>
        <v>23357.970400000002</v>
      </c>
      <c r="H68" s="44">
        <f>(E68+F68)/(8725103.2+9421212.6)*100</f>
        <v>6.3725332058863438E-2</v>
      </c>
      <c r="I68" s="43">
        <f>7990664.7*H68/100</f>
        <v>5092.0776137853836</v>
      </c>
      <c r="J68" s="43"/>
      <c r="K68" s="43"/>
      <c r="L68" s="43">
        <f>SUM(I68:K68)</f>
        <v>5092.0776137853836</v>
      </c>
      <c r="M68" s="43">
        <v>4077.7</v>
      </c>
      <c r="N68" s="43">
        <f t="shared" si="21"/>
        <v>-1014.3776137853838</v>
      </c>
      <c r="O68" s="43">
        <f t="shared" si="22"/>
        <v>80.079297867745808</v>
      </c>
      <c r="P68" s="43">
        <v>13996</v>
      </c>
      <c r="Q68" s="44">
        <f t="shared" si="23"/>
        <v>5.7104084977602332E-2</v>
      </c>
      <c r="R68" s="43">
        <f t="shared" si="24"/>
        <v>3541.5365331033699</v>
      </c>
      <c r="S68" s="43"/>
      <c r="T68" s="43"/>
      <c r="U68" s="43"/>
      <c r="V68" s="43"/>
      <c r="W68" s="43"/>
      <c r="X68" s="43">
        <f t="shared" si="25"/>
        <v>3541.5365331033699</v>
      </c>
      <c r="Y68" s="43">
        <v>2562</v>
      </c>
      <c r="Z68" s="43">
        <f>Y68</f>
        <v>2562</v>
      </c>
      <c r="AA68" s="43"/>
      <c r="AB68" s="43"/>
      <c r="AC68" s="43"/>
      <c r="AD68" s="43">
        <f t="shared" si="26"/>
        <v>2562</v>
      </c>
      <c r="AE68" s="43">
        <v>2644.5000000000005</v>
      </c>
      <c r="AF68" s="43"/>
      <c r="AG68" s="43"/>
      <c r="AH68" s="42">
        <f t="shared" si="27"/>
        <v>2644.5000000000005</v>
      </c>
      <c r="AI68" s="41">
        <v>3100.5</v>
      </c>
      <c r="AJ68" s="40">
        <v>4394.2</v>
      </c>
      <c r="AK68" s="49">
        <f>5136.46-1000-1200</f>
        <v>2936.46</v>
      </c>
      <c r="AL68" s="39">
        <f t="shared" si="28"/>
        <v>2936.46</v>
      </c>
      <c r="AM68" s="49"/>
      <c r="AN68" s="49">
        <f t="shared" si="29"/>
        <v>2936.46</v>
      </c>
    </row>
    <row r="69" spans="1:40" s="18" customFormat="1" ht="13.2" x14ac:dyDescent="0.25">
      <c r="A69" s="46">
        <v>11810</v>
      </c>
      <c r="B69" s="45" t="s">
        <v>235</v>
      </c>
      <c r="C69" s="43">
        <v>30000</v>
      </c>
      <c r="D69" s="43">
        <f t="shared" si="19"/>
        <v>2500</v>
      </c>
      <c r="E69" s="43"/>
      <c r="F69" s="43">
        <v>3881</v>
      </c>
      <c r="G69" s="43">
        <f t="shared" si="20"/>
        <v>6990</v>
      </c>
      <c r="H69" s="44">
        <f>(E69+F69)/(8725103.2+9421212.6)*100</f>
        <v>2.1387261429672687E-2</v>
      </c>
      <c r="I69" s="43">
        <v>3619</v>
      </c>
      <c r="J69" s="43"/>
      <c r="K69" s="43"/>
      <c r="L69" s="43">
        <f>SUM(I69:K69)+276</f>
        <v>3895</v>
      </c>
      <c r="M69" s="43">
        <v>3895</v>
      </c>
      <c r="N69" s="43">
        <f t="shared" si="21"/>
        <v>0</v>
      </c>
      <c r="O69" s="43">
        <f t="shared" si="22"/>
        <v>100</v>
      </c>
      <c r="P69" s="43">
        <v>7500</v>
      </c>
      <c r="Q69" s="44">
        <f t="shared" si="23"/>
        <v>3.0600217014291043E-2</v>
      </c>
      <c r="R69" s="43">
        <f t="shared" si="24"/>
        <v>1897.7939410028057</v>
      </c>
      <c r="S69" s="43">
        <v>4000</v>
      </c>
      <c r="T69" s="43"/>
      <c r="U69" s="43"/>
      <c r="V69" s="43"/>
      <c r="W69" s="43"/>
      <c r="X69" s="43">
        <f t="shared" si="25"/>
        <v>5897.7939410028057</v>
      </c>
      <c r="Y69" s="43"/>
      <c r="Z69" s="43">
        <f>D69</f>
        <v>2500</v>
      </c>
      <c r="AA69" s="43"/>
      <c r="AB69" s="43"/>
      <c r="AC69" s="43"/>
      <c r="AD69" s="43">
        <f t="shared" si="26"/>
        <v>2500</v>
      </c>
      <c r="AE69" s="43">
        <v>672.63900000000001</v>
      </c>
      <c r="AF69" s="43"/>
      <c r="AG69" s="42">
        <v>616.4</v>
      </c>
      <c r="AH69" s="42">
        <f t="shared" si="27"/>
        <v>1289.039</v>
      </c>
      <c r="AI69" s="41">
        <v>2500</v>
      </c>
      <c r="AJ69" s="40">
        <v>5177.6000000000004</v>
      </c>
      <c r="AK69" s="49">
        <v>2487.6390000000001</v>
      </c>
      <c r="AL69" s="39">
        <f t="shared" si="28"/>
        <v>2487.6390000000001</v>
      </c>
      <c r="AM69" s="49"/>
      <c r="AN69" s="49">
        <f t="shared" si="29"/>
        <v>2487.6390000000001</v>
      </c>
    </row>
    <row r="70" spans="1:40" s="18" customFormat="1" ht="13.2" x14ac:dyDescent="0.25">
      <c r="A70" s="46">
        <v>12110</v>
      </c>
      <c r="B70" s="45" t="s">
        <v>234</v>
      </c>
      <c r="C70" s="43">
        <v>124116.5</v>
      </c>
      <c r="D70" s="43">
        <f t="shared" si="19"/>
        <v>10343.041666666666</v>
      </c>
      <c r="E70" s="43">
        <v>8629.4</v>
      </c>
      <c r="F70" s="43">
        <v>10035</v>
      </c>
      <c r="G70" s="43">
        <f t="shared" si="20"/>
        <v>28919.144500000002</v>
      </c>
      <c r="H70" s="44">
        <f>(E70+F70)/(8725103.2+9421212.6)*100</f>
        <v>0.10285503793557921</v>
      </c>
      <c r="I70" s="43">
        <v>7508.3</v>
      </c>
      <c r="J70" s="43"/>
      <c r="K70" s="43">
        <v>3648.9</v>
      </c>
      <c r="L70" s="43">
        <f t="shared" ref="L70:L99" si="30">SUM(I70:K70)</f>
        <v>11157.2</v>
      </c>
      <c r="M70" s="43">
        <v>10599.4</v>
      </c>
      <c r="N70" s="43">
        <f t="shared" si="21"/>
        <v>-557.80000000000109</v>
      </c>
      <c r="O70" s="43">
        <f t="shared" si="22"/>
        <v>95.000537769332794</v>
      </c>
      <c r="P70" s="43">
        <v>37366.299999999996</v>
      </c>
      <c r="Q70" s="44">
        <f t="shared" si="23"/>
        <v>0.1524555852028138</v>
      </c>
      <c r="R70" s="43">
        <f t="shared" si="24"/>
        <v>9455.138365025754</v>
      </c>
      <c r="S70" s="43"/>
      <c r="T70" s="43">
        <v>319.7</v>
      </c>
      <c r="U70" s="43"/>
      <c r="V70" s="43"/>
      <c r="W70" s="43"/>
      <c r="X70" s="43">
        <f t="shared" si="25"/>
        <v>9774.8383650257547</v>
      </c>
      <c r="Y70" s="43">
        <v>9081</v>
      </c>
      <c r="Z70" s="43">
        <f>Y70</f>
        <v>9081</v>
      </c>
      <c r="AA70" s="43"/>
      <c r="AB70" s="43"/>
      <c r="AC70" s="43"/>
      <c r="AD70" s="43">
        <f t="shared" si="26"/>
        <v>9081</v>
      </c>
      <c r="AE70" s="42">
        <f>12270.2-2000</f>
        <v>10270.200000000001</v>
      </c>
      <c r="AF70" s="42"/>
      <c r="AG70" s="42"/>
      <c r="AH70" s="42">
        <f t="shared" si="27"/>
        <v>10270.200000000001</v>
      </c>
      <c r="AI70" s="41">
        <v>12728.3</v>
      </c>
      <c r="AJ70" s="40">
        <v>14101.099999999999</v>
      </c>
      <c r="AK70" s="49">
        <f>16784.6666666667-3000</f>
        <v>13784.666666666701</v>
      </c>
      <c r="AL70" s="39">
        <f t="shared" si="28"/>
        <v>13784.666666666701</v>
      </c>
      <c r="AM70" s="49"/>
      <c r="AN70" s="49">
        <f t="shared" si="29"/>
        <v>13784.666666666701</v>
      </c>
    </row>
    <row r="71" spans="1:40" s="18" customFormat="1" ht="12.75" customHeight="1" x14ac:dyDescent="0.25">
      <c r="A71" s="46">
        <v>12120</v>
      </c>
      <c r="B71" s="45" t="s">
        <v>233</v>
      </c>
      <c r="C71" s="43">
        <v>7857.6</v>
      </c>
      <c r="D71" s="43">
        <f t="shared" si="19"/>
        <v>654.80000000000007</v>
      </c>
      <c r="E71" s="43"/>
      <c r="F71" s="43">
        <v>329.9</v>
      </c>
      <c r="G71" s="43">
        <f t="shared" si="20"/>
        <v>1830.8208000000002</v>
      </c>
      <c r="H71" s="44">
        <f>(E71+F71)/(8725103.2+9421212.6)*100</f>
        <v>1.8179998829294043E-3</v>
      </c>
      <c r="I71" s="43">
        <v>907.3</v>
      </c>
      <c r="J71" s="43"/>
      <c r="K71" s="43"/>
      <c r="L71" s="43">
        <f t="shared" si="30"/>
        <v>907.3</v>
      </c>
      <c r="M71" s="43">
        <v>746.3</v>
      </c>
      <c r="N71" s="43">
        <f t="shared" si="21"/>
        <v>-161</v>
      </c>
      <c r="O71" s="43">
        <f t="shared" si="22"/>
        <v>82.255042433594184</v>
      </c>
      <c r="P71" s="43">
        <v>1897.3999999999999</v>
      </c>
      <c r="Q71" s="44">
        <f t="shared" si="23"/>
        <v>7.7414469017221101E-3</v>
      </c>
      <c r="R71" s="43">
        <f t="shared" si="24"/>
        <v>480.11656315449648</v>
      </c>
      <c r="S71" s="43"/>
      <c r="T71" s="43">
        <v>958</v>
      </c>
      <c r="U71" s="43">
        <v>-958</v>
      </c>
      <c r="V71" s="43"/>
      <c r="W71" s="43"/>
      <c r="X71" s="43">
        <f t="shared" si="25"/>
        <v>480.11656315449636</v>
      </c>
      <c r="Y71" s="43">
        <v>351</v>
      </c>
      <c r="Z71" s="43">
        <f>Y71</f>
        <v>351</v>
      </c>
      <c r="AA71" s="43"/>
      <c r="AB71" s="43"/>
      <c r="AC71" s="43"/>
      <c r="AD71" s="43">
        <f t="shared" si="26"/>
        <v>351</v>
      </c>
      <c r="AE71" s="43">
        <v>481.6</v>
      </c>
      <c r="AF71" s="43"/>
      <c r="AG71" s="43"/>
      <c r="AH71" s="42">
        <f t="shared" si="27"/>
        <v>481.6</v>
      </c>
      <c r="AI71" s="41">
        <v>680.3</v>
      </c>
      <c r="AJ71" s="40">
        <v>1128.7</v>
      </c>
      <c r="AK71" s="49">
        <v>583.6</v>
      </c>
      <c r="AL71" s="39">
        <f t="shared" si="28"/>
        <v>583.6</v>
      </c>
      <c r="AM71" s="49"/>
      <c r="AN71" s="49">
        <f t="shared" si="29"/>
        <v>583.6</v>
      </c>
    </row>
    <row r="72" spans="1:40" s="18" customFormat="1" ht="13.2" x14ac:dyDescent="0.25">
      <c r="A72" s="46">
        <v>12810</v>
      </c>
      <c r="B72" s="45" t="s">
        <v>232</v>
      </c>
      <c r="C72" s="43">
        <v>30000</v>
      </c>
      <c r="D72" s="43">
        <f t="shared" si="19"/>
        <v>2500</v>
      </c>
      <c r="E72" s="43"/>
      <c r="F72" s="43"/>
      <c r="G72" s="43">
        <f t="shared" si="20"/>
        <v>6990</v>
      </c>
      <c r="H72" s="44">
        <v>9.3859499999999998E-2</v>
      </c>
      <c r="I72" s="43">
        <f>7990664.7*H72/100</f>
        <v>7499.9979340965001</v>
      </c>
      <c r="J72" s="43"/>
      <c r="K72" s="43"/>
      <c r="L72" s="43">
        <f t="shared" si="30"/>
        <v>7499.9979340965001</v>
      </c>
      <c r="M72" s="43">
        <v>2180</v>
      </c>
      <c r="N72" s="43">
        <f t="shared" si="21"/>
        <v>-5319.9979340965001</v>
      </c>
      <c r="O72" s="43">
        <f t="shared" si="22"/>
        <v>29.066674673192662</v>
      </c>
      <c r="P72" s="43">
        <v>7500</v>
      </c>
      <c r="Q72" s="44">
        <f t="shared" si="23"/>
        <v>3.0600217014291043E-2</v>
      </c>
      <c r="R72" s="43">
        <f t="shared" si="24"/>
        <v>1897.7939410028057</v>
      </c>
      <c r="S72" s="43"/>
      <c r="T72" s="43"/>
      <c r="U72" s="43">
        <v>550</v>
      </c>
      <c r="V72" s="43"/>
      <c r="W72" s="43"/>
      <c r="X72" s="43">
        <f t="shared" si="25"/>
        <v>2447.7939410028057</v>
      </c>
      <c r="Y72" s="43"/>
      <c r="Z72" s="43">
        <f>D72</f>
        <v>2500</v>
      </c>
      <c r="AA72" s="43"/>
      <c r="AB72" s="43"/>
      <c r="AC72" s="43"/>
      <c r="AD72" s="43">
        <f t="shared" si="26"/>
        <v>2500</v>
      </c>
      <c r="AE72" s="42">
        <f>9627.6</f>
        <v>9627.6</v>
      </c>
      <c r="AF72" s="42"/>
      <c r="AG72" s="42"/>
      <c r="AH72" s="42">
        <f t="shared" si="27"/>
        <v>9627.6</v>
      </c>
      <c r="AI72" s="41">
        <v>4761.3</v>
      </c>
      <c r="AJ72" s="40">
        <v>4620</v>
      </c>
      <c r="AK72" s="49">
        <f>10979.3-5000</f>
        <v>5979.2999999999993</v>
      </c>
      <c r="AL72" s="39">
        <f t="shared" si="28"/>
        <v>5979.2999999999993</v>
      </c>
      <c r="AM72" s="49"/>
      <c r="AN72" s="49">
        <f t="shared" si="29"/>
        <v>5979.2999999999993</v>
      </c>
    </row>
    <row r="73" spans="1:40" s="18" customFormat="1" ht="13.2" x14ac:dyDescent="0.25">
      <c r="A73" s="46">
        <v>13120</v>
      </c>
      <c r="B73" s="45" t="s">
        <v>231</v>
      </c>
      <c r="C73" s="43">
        <v>5448.5</v>
      </c>
      <c r="D73" s="43">
        <f t="shared" si="19"/>
        <v>454.04166666666669</v>
      </c>
      <c r="E73" s="43">
        <v>441</v>
      </c>
      <c r="F73" s="43">
        <v>335</v>
      </c>
      <c r="G73" s="43">
        <f t="shared" si="20"/>
        <v>1269.5005000000001</v>
      </c>
      <c r="H73" s="44">
        <f t="shared" ref="H73:H99" si="31">(E73+F73)/(8725103.2+9421212.6)*100</f>
        <v>4.276350133838187E-3</v>
      </c>
      <c r="I73" s="43">
        <v>499</v>
      </c>
      <c r="J73" s="43"/>
      <c r="K73" s="43"/>
      <c r="L73" s="43">
        <f t="shared" si="30"/>
        <v>499</v>
      </c>
      <c r="M73" s="43">
        <v>499</v>
      </c>
      <c r="N73" s="43">
        <f t="shared" si="21"/>
        <v>0</v>
      </c>
      <c r="O73" s="43">
        <f t="shared" si="22"/>
        <v>100</v>
      </c>
      <c r="P73" s="43">
        <v>1395.3000000000002</v>
      </c>
      <c r="Q73" s="44">
        <f t="shared" si="23"/>
        <v>5.6928643733387069E-3</v>
      </c>
      <c r="R73" s="43">
        <f t="shared" si="24"/>
        <v>353.06558478416207</v>
      </c>
      <c r="S73" s="43"/>
      <c r="T73" s="43"/>
      <c r="U73" s="43"/>
      <c r="V73" s="43"/>
      <c r="W73" s="43"/>
      <c r="X73" s="43">
        <f t="shared" si="25"/>
        <v>353.06558478416207</v>
      </c>
      <c r="Y73" s="43">
        <v>437</v>
      </c>
      <c r="Z73" s="43">
        <f>Y73</f>
        <v>437</v>
      </c>
      <c r="AA73" s="43"/>
      <c r="AB73" s="43"/>
      <c r="AC73" s="43"/>
      <c r="AD73" s="43">
        <f t="shared" si="26"/>
        <v>437</v>
      </c>
      <c r="AE73" s="43">
        <v>634.79999999999995</v>
      </c>
      <c r="AF73" s="43"/>
      <c r="AG73" s="43"/>
      <c r="AH73" s="42">
        <f t="shared" si="27"/>
        <v>634.79999999999995</v>
      </c>
      <c r="AI73" s="41">
        <v>437.7</v>
      </c>
      <c r="AJ73" s="40">
        <v>326.3</v>
      </c>
      <c r="AK73" s="49">
        <v>646.29999999999995</v>
      </c>
      <c r="AL73" s="39">
        <f t="shared" si="28"/>
        <v>646.29999999999995</v>
      </c>
      <c r="AM73" s="49"/>
      <c r="AN73" s="49">
        <f t="shared" si="29"/>
        <v>646.29999999999995</v>
      </c>
    </row>
    <row r="74" spans="1:40" s="18" customFormat="1" ht="13.2" x14ac:dyDescent="0.25">
      <c r="A74" s="46">
        <v>14110</v>
      </c>
      <c r="B74" s="45" t="s">
        <v>230</v>
      </c>
      <c r="C74" s="43">
        <f>188691.8+5217.6</f>
        <v>193909.4</v>
      </c>
      <c r="D74" s="43">
        <f t="shared" si="19"/>
        <v>16159.116666666667</v>
      </c>
      <c r="E74" s="43">
        <v>12415.3</v>
      </c>
      <c r="F74" s="43">
        <v>14490.5</v>
      </c>
      <c r="G74" s="43">
        <f t="shared" si="20"/>
        <v>45180.890199999994</v>
      </c>
      <c r="H74" s="44">
        <f t="shared" si="31"/>
        <v>0.14827141936987565</v>
      </c>
      <c r="I74" s="43">
        <v>16037.9</v>
      </c>
      <c r="J74" s="43"/>
      <c r="K74" s="43"/>
      <c r="L74" s="43">
        <f t="shared" si="30"/>
        <v>16037.9</v>
      </c>
      <c r="M74" s="43">
        <v>14313.7</v>
      </c>
      <c r="N74" s="43">
        <f t="shared" si="21"/>
        <v>-1724.1999999999989</v>
      </c>
      <c r="O74" s="43">
        <f t="shared" si="22"/>
        <v>89.249215919790004</v>
      </c>
      <c r="P74" s="43">
        <v>51603.3</v>
      </c>
      <c r="Q74" s="44">
        <f t="shared" si="23"/>
        <v>0.21054295715380872</v>
      </c>
      <c r="R74" s="43">
        <f t="shared" si="24"/>
        <v>13057.657343433348</v>
      </c>
      <c r="S74" s="43"/>
      <c r="T74" s="43">
        <f>2600+380.1</f>
        <v>2980.1</v>
      </c>
      <c r="U74" s="43"/>
      <c r="V74" s="43"/>
      <c r="W74" s="43"/>
      <c r="X74" s="43">
        <f t="shared" si="25"/>
        <v>16037.757343433348</v>
      </c>
      <c r="Y74" s="43">
        <v>13740</v>
      </c>
      <c r="Z74" s="43">
        <f>Y74</f>
        <v>13740</v>
      </c>
      <c r="AA74" s="43"/>
      <c r="AB74" s="43"/>
      <c r="AC74" s="43"/>
      <c r="AD74" s="43">
        <f t="shared" si="26"/>
        <v>13740</v>
      </c>
      <c r="AE74" s="43">
        <f>20316.8-4000</f>
        <v>16316.8</v>
      </c>
      <c r="AF74" s="43"/>
      <c r="AG74" s="43"/>
      <c r="AH74" s="42">
        <f t="shared" si="27"/>
        <v>16316.8</v>
      </c>
      <c r="AI74" s="41">
        <v>20832.400000000001</v>
      </c>
      <c r="AJ74" s="40">
        <v>25121.1</v>
      </c>
      <c r="AK74" s="49">
        <f>21523.7-7000</f>
        <v>14523.7</v>
      </c>
      <c r="AL74" s="39">
        <f t="shared" si="28"/>
        <v>14523.7</v>
      </c>
      <c r="AM74" s="49"/>
      <c r="AN74" s="49">
        <f t="shared" si="29"/>
        <v>14523.7</v>
      </c>
    </row>
    <row r="75" spans="1:40" s="18" customFormat="1" ht="13.2" x14ac:dyDescent="0.25">
      <c r="A75" s="46">
        <v>14810</v>
      </c>
      <c r="B75" s="45" t="s">
        <v>229</v>
      </c>
      <c r="C75" s="43">
        <v>30000</v>
      </c>
      <c r="D75" s="43">
        <f t="shared" si="19"/>
        <v>2500</v>
      </c>
      <c r="E75" s="43"/>
      <c r="F75" s="43">
        <v>350</v>
      </c>
      <c r="G75" s="43">
        <f t="shared" si="20"/>
        <v>6990</v>
      </c>
      <c r="H75" s="44">
        <f t="shared" si="31"/>
        <v>1.9287661686125843E-3</v>
      </c>
      <c r="I75" s="43">
        <v>7150</v>
      </c>
      <c r="J75" s="43"/>
      <c r="K75" s="43"/>
      <c r="L75" s="43">
        <f t="shared" si="30"/>
        <v>7150</v>
      </c>
      <c r="M75" s="43">
        <v>6442</v>
      </c>
      <c r="N75" s="43">
        <f t="shared" si="21"/>
        <v>-708</v>
      </c>
      <c r="O75" s="43">
        <f t="shared" si="22"/>
        <v>90.097902097902093</v>
      </c>
      <c r="P75" s="43">
        <v>7500</v>
      </c>
      <c r="Q75" s="44">
        <f t="shared" si="23"/>
        <v>3.0600217014291043E-2</v>
      </c>
      <c r="R75" s="43">
        <f t="shared" si="24"/>
        <v>1897.7939410028057</v>
      </c>
      <c r="S75" s="43">
        <v>9681.2999999999993</v>
      </c>
      <c r="T75" s="43">
        <f>1207</f>
        <v>1207</v>
      </c>
      <c r="U75" s="43">
        <v>500</v>
      </c>
      <c r="V75" s="43"/>
      <c r="W75" s="43"/>
      <c r="X75" s="43">
        <f t="shared" si="25"/>
        <v>13286.093941002804</v>
      </c>
      <c r="Y75" s="43"/>
      <c r="Z75" s="43">
        <f>D75</f>
        <v>2500</v>
      </c>
      <c r="AA75" s="43"/>
      <c r="AB75" s="43"/>
      <c r="AC75" s="43"/>
      <c r="AD75" s="43">
        <f t="shared" si="26"/>
        <v>2500</v>
      </c>
      <c r="AE75" s="43">
        <v>1659.575</v>
      </c>
      <c r="AF75" s="43"/>
      <c r="AG75" s="43"/>
      <c r="AH75" s="42">
        <f t="shared" si="27"/>
        <v>1659.575</v>
      </c>
      <c r="AI75" s="41">
        <v>2000</v>
      </c>
      <c r="AJ75" s="40">
        <v>2871.2</v>
      </c>
      <c r="AK75" s="49">
        <f>3242.875-1200</f>
        <v>2042.875</v>
      </c>
      <c r="AL75" s="39">
        <f t="shared" si="28"/>
        <v>2042.875</v>
      </c>
      <c r="AM75" s="49"/>
      <c r="AN75" s="49">
        <f t="shared" si="29"/>
        <v>2042.875</v>
      </c>
    </row>
    <row r="76" spans="1:40" s="18" customFormat="1" ht="13.2" x14ac:dyDescent="0.25">
      <c r="A76" s="46">
        <v>15120</v>
      </c>
      <c r="B76" s="45" t="s">
        <v>228</v>
      </c>
      <c r="C76" s="43">
        <f>378971.1+3950.6+12037.8</f>
        <v>394959.49999999994</v>
      </c>
      <c r="D76" s="43">
        <f t="shared" si="19"/>
        <v>32913.291666666664</v>
      </c>
      <c r="E76" s="43">
        <v>26663.4</v>
      </c>
      <c r="F76" s="43">
        <v>28196.5</v>
      </c>
      <c r="G76" s="43">
        <f t="shared" si="20"/>
        <v>92025.563499999989</v>
      </c>
      <c r="H76" s="44">
        <f t="shared" si="31"/>
        <v>0.30231976895277007</v>
      </c>
      <c r="I76" s="43">
        <v>37563.5</v>
      </c>
      <c r="J76" s="43"/>
      <c r="K76" s="43">
        <v>100</v>
      </c>
      <c r="L76" s="43">
        <f t="shared" si="30"/>
        <v>37663.5</v>
      </c>
      <c r="M76" s="43">
        <v>37560.199999999997</v>
      </c>
      <c r="N76" s="43">
        <f t="shared" si="21"/>
        <v>-103.30000000000291</v>
      </c>
      <c r="O76" s="43">
        <f t="shared" si="22"/>
        <v>99.725729154220915</v>
      </c>
      <c r="P76" s="43">
        <v>104489.4</v>
      </c>
      <c r="Q76" s="44">
        <f t="shared" si="23"/>
        <v>0.42631977542574168</v>
      </c>
      <c r="R76" s="43">
        <f t="shared" si="24"/>
        <v>26439.913362535812</v>
      </c>
      <c r="S76" s="43"/>
      <c r="T76" s="43">
        <f>317.9+5159.5+507.3+1953</f>
        <v>7937.7</v>
      </c>
      <c r="U76" s="43">
        <v>958</v>
      </c>
      <c r="V76" s="43"/>
      <c r="W76" s="43"/>
      <c r="X76" s="43">
        <f t="shared" si="25"/>
        <v>35335.613362535812</v>
      </c>
      <c r="Y76" s="43">
        <v>27706</v>
      </c>
      <c r="Z76" s="43">
        <f t="shared" ref="Z76:Z96" si="32">Y76</f>
        <v>27706</v>
      </c>
      <c r="AA76" s="43"/>
      <c r="AB76" s="43">
        <v>500</v>
      </c>
      <c r="AC76" s="43">
        <v>2330.6</v>
      </c>
      <c r="AD76" s="43">
        <f t="shared" si="26"/>
        <v>30536.6</v>
      </c>
      <c r="AE76" s="43">
        <v>33742.399999999994</v>
      </c>
      <c r="AF76" s="43"/>
      <c r="AG76" s="43"/>
      <c r="AH76" s="42">
        <f t="shared" si="27"/>
        <v>33742.399999999994</v>
      </c>
      <c r="AI76" s="41">
        <v>33550.6</v>
      </c>
      <c r="AJ76" s="40">
        <v>35915.1</v>
      </c>
      <c r="AK76" s="49">
        <f>39786.8-6000</f>
        <v>33786.800000000003</v>
      </c>
      <c r="AL76" s="39">
        <f t="shared" si="28"/>
        <v>33786.800000000003</v>
      </c>
      <c r="AM76" s="49"/>
      <c r="AN76" s="49">
        <f t="shared" si="29"/>
        <v>33786.800000000003</v>
      </c>
    </row>
    <row r="77" spans="1:40" s="18" customFormat="1" ht="13.2" x14ac:dyDescent="0.25">
      <c r="A77" s="46">
        <v>15130</v>
      </c>
      <c r="B77" s="45" t="s">
        <v>227</v>
      </c>
      <c r="C77" s="43">
        <v>19000</v>
      </c>
      <c r="D77" s="43">
        <f t="shared" si="19"/>
        <v>1583.3333333333333</v>
      </c>
      <c r="E77" s="43">
        <v>500</v>
      </c>
      <c r="F77" s="43">
        <v>1000</v>
      </c>
      <c r="G77" s="43">
        <f t="shared" si="20"/>
        <v>4427</v>
      </c>
      <c r="H77" s="44">
        <f t="shared" si="31"/>
        <v>8.2661407226253623E-3</v>
      </c>
      <c r="I77" s="43">
        <v>2185.3000000000002</v>
      </c>
      <c r="J77" s="43"/>
      <c r="K77" s="43"/>
      <c r="L77" s="43">
        <f t="shared" si="30"/>
        <v>2185.3000000000002</v>
      </c>
      <c r="M77" s="43">
        <v>0</v>
      </c>
      <c r="N77" s="43">
        <f t="shared" si="21"/>
        <v>-2185.3000000000002</v>
      </c>
      <c r="O77" s="43">
        <f t="shared" si="22"/>
        <v>0</v>
      </c>
      <c r="P77" s="43">
        <v>5147.4000000000005</v>
      </c>
      <c r="Q77" s="44">
        <f t="shared" si="23"/>
        <v>2.1001540941248231E-2</v>
      </c>
      <c r="R77" s="43">
        <f t="shared" si="24"/>
        <v>1302.4939375890458</v>
      </c>
      <c r="S77" s="43"/>
      <c r="T77" s="43"/>
      <c r="U77" s="43"/>
      <c r="V77" s="43"/>
      <c r="W77" s="43"/>
      <c r="X77" s="43">
        <f t="shared" si="25"/>
        <v>1302.4939375890458</v>
      </c>
      <c r="Y77" s="43">
        <v>578</v>
      </c>
      <c r="Z77" s="43">
        <f t="shared" si="32"/>
        <v>578</v>
      </c>
      <c r="AA77" s="43"/>
      <c r="AB77" s="43"/>
      <c r="AC77" s="43"/>
      <c r="AD77" s="43">
        <f t="shared" si="26"/>
        <v>578</v>
      </c>
      <c r="AE77" s="43">
        <f>3333.2-2000</f>
        <v>1333.1999999999998</v>
      </c>
      <c r="AF77" s="43"/>
      <c r="AG77" s="43"/>
      <c r="AH77" s="42">
        <f t="shared" si="27"/>
        <v>1333.1999999999998</v>
      </c>
      <c r="AI77" s="41">
        <f>1800</f>
        <v>1800</v>
      </c>
      <c r="AJ77" s="40">
        <v>1077.8</v>
      </c>
      <c r="AK77" s="49">
        <v>1125.4086021505375</v>
      </c>
      <c r="AL77" s="39">
        <f t="shared" si="28"/>
        <v>1125.4086021505375</v>
      </c>
      <c r="AM77" s="49"/>
      <c r="AN77" s="49">
        <f t="shared" si="29"/>
        <v>1125.4086021505375</v>
      </c>
    </row>
    <row r="78" spans="1:40" s="18" customFormat="1" ht="13.2" x14ac:dyDescent="0.25">
      <c r="A78" s="46">
        <v>15140</v>
      </c>
      <c r="B78" s="45" t="s">
        <v>226</v>
      </c>
      <c r="C78" s="43">
        <v>73731.3</v>
      </c>
      <c r="D78" s="43">
        <f t="shared" si="19"/>
        <v>6144.2750000000005</v>
      </c>
      <c r="E78" s="43"/>
      <c r="F78" s="43">
        <v>158687.20000000001</v>
      </c>
      <c r="G78" s="43">
        <f t="shared" si="20"/>
        <v>17179.392899999999</v>
      </c>
      <c r="H78" s="44">
        <f t="shared" si="31"/>
        <v>0.87448715071959693</v>
      </c>
      <c r="I78" s="43">
        <v>31873.9</v>
      </c>
      <c r="J78" s="43"/>
      <c r="K78" s="43"/>
      <c r="L78" s="43">
        <f t="shared" si="30"/>
        <v>31873.9</v>
      </c>
      <c r="M78" s="43">
        <v>31368</v>
      </c>
      <c r="N78" s="43">
        <f t="shared" si="21"/>
        <v>-505.90000000000146</v>
      </c>
      <c r="O78" s="43">
        <f t="shared" si="22"/>
        <v>98.412807971412349</v>
      </c>
      <c r="P78" s="43">
        <v>155015.1</v>
      </c>
      <c r="Q78" s="44">
        <f t="shared" si="23"/>
        <v>0.63246609339893711</v>
      </c>
      <c r="R78" s="43">
        <f t="shared" si="24"/>
        <v>39224.895672525883</v>
      </c>
      <c r="S78" s="43">
        <v>2000</v>
      </c>
      <c r="T78" s="43"/>
      <c r="U78" s="43"/>
      <c r="V78" s="43"/>
      <c r="W78" s="43"/>
      <c r="X78" s="43">
        <f t="shared" si="25"/>
        <v>41224.895672525883</v>
      </c>
      <c r="Y78" s="43">
        <v>33</v>
      </c>
      <c r="Z78" s="43">
        <f t="shared" si="32"/>
        <v>33</v>
      </c>
      <c r="AA78" s="43"/>
      <c r="AB78" s="43"/>
      <c r="AC78" s="43"/>
      <c r="AD78" s="43">
        <f t="shared" si="26"/>
        <v>33</v>
      </c>
      <c r="AE78" s="43">
        <v>0</v>
      </c>
      <c r="AF78" s="43"/>
      <c r="AG78" s="43">
        <v>543.6</v>
      </c>
      <c r="AH78" s="42">
        <f t="shared" si="27"/>
        <v>543.6</v>
      </c>
      <c r="AI78" s="41">
        <v>66490</v>
      </c>
      <c r="AJ78" s="40">
        <v>58200</v>
      </c>
      <c r="AK78" s="49">
        <f>52125.76-50000</f>
        <v>2125.760000000002</v>
      </c>
      <c r="AL78" s="39">
        <f t="shared" si="28"/>
        <v>2125.760000000002</v>
      </c>
      <c r="AM78" s="49"/>
      <c r="AN78" s="49">
        <f t="shared" si="29"/>
        <v>2125.760000000002</v>
      </c>
    </row>
    <row r="79" spans="1:40" s="18" customFormat="1" ht="13.2" x14ac:dyDescent="0.25">
      <c r="A79" s="46">
        <v>16110</v>
      </c>
      <c r="B79" s="45" t="s">
        <v>225</v>
      </c>
      <c r="C79" s="43">
        <v>129548</v>
      </c>
      <c r="D79" s="43">
        <f t="shared" si="19"/>
        <v>10795.666666666666</v>
      </c>
      <c r="E79" s="43">
        <v>9281.2999999999993</v>
      </c>
      <c r="F79" s="43">
        <v>4193</v>
      </c>
      <c r="G79" s="43">
        <f t="shared" si="20"/>
        <v>30184.683999999997</v>
      </c>
      <c r="H79" s="44">
        <f t="shared" si="31"/>
        <v>7.4253639959247275E-2</v>
      </c>
      <c r="I79" s="43">
        <f>7990664.7*H79/100</f>
        <v>5933.3593966886665</v>
      </c>
      <c r="J79" s="43">
        <f>14092.6-I79</f>
        <v>8159.2406033113339</v>
      </c>
      <c r="K79" s="43"/>
      <c r="L79" s="43">
        <f t="shared" si="30"/>
        <v>14092.6</v>
      </c>
      <c r="M79" s="43">
        <v>12632.7</v>
      </c>
      <c r="N79" s="43">
        <f t="shared" si="21"/>
        <v>-1459.8999999999996</v>
      </c>
      <c r="O79" s="43">
        <f t="shared" si="22"/>
        <v>89.640662475341671</v>
      </c>
      <c r="P79" s="43">
        <v>36086.5</v>
      </c>
      <c r="Q79" s="44">
        <f t="shared" si="23"/>
        <v>0.14723396417149517</v>
      </c>
      <c r="R79" s="43">
        <f t="shared" si="24"/>
        <v>9131.2988069330349</v>
      </c>
      <c r="S79" s="43"/>
      <c r="T79" s="43"/>
      <c r="U79" s="43"/>
      <c r="V79" s="43"/>
      <c r="W79" s="43"/>
      <c r="X79" s="43">
        <f t="shared" si="25"/>
        <v>9131.2988069330349</v>
      </c>
      <c r="Y79" s="43">
        <v>8852</v>
      </c>
      <c r="Z79" s="43">
        <f t="shared" si="32"/>
        <v>8852</v>
      </c>
      <c r="AA79" s="43"/>
      <c r="AB79" s="43"/>
      <c r="AC79" s="43"/>
      <c r="AD79" s="43">
        <f t="shared" si="26"/>
        <v>8852</v>
      </c>
      <c r="AE79" s="43">
        <f>15631.3-2000</f>
        <v>13631.3</v>
      </c>
      <c r="AF79" s="43"/>
      <c r="AG79" s="43"/>
      <c r="AH79" s="42">
        <f t="shared" si="27"/>
        <v>13631.3</v>
      </c>
      <c r="AI79" s="41">
        <f>11263.2+8225</f>
        <v>19488.2</v>
      </c>
      <c r="AJ79" s="40">
        <v>11290</v>
      </c>
      <c r="AK79" s="49">
        <f>17737.9-5000</f>
        <v>12737.900000000001</v>
      </c>
      <c r="AL79" s="39">
        <f t="shared" si="28"/>
        <v>12737.900000000001</v>
      </c>
      <c r="AM79" s="49"/>
      <c r="AN79" s="49">
        <f t="shared" si="29"/>
        <v>12737.900000000001</v>
      </c>
    </row>
    <row r="80" spans="1:40" s="18" customFormat="1" ht="13.2" x14ac:dyDescent="0.25">
      <c r="A80" s="46">
        <v>16120</v>
      </c>
      <c r="B80" s="45" t="s">
        <v>224</v>
      </c>
      <c r="C80" s="43">
        <v>34533</v>
      </c>
      <c r="D80" s="43">
        <f t="shared" si="19"/>
        <v>2877.75</v>
      </c>
      <c r="E80" s="43">
        <v>2483.3000000000002</v>
      </c>
      <c r="F80" s="43">
        <v>869.7</v>
      </c>
      <c r="G80" s="43">
        <f t="shared" si="20"/>
        <v>8046.1890000000003</v>
      </c>
      <c r="H80" s="44">
        <f t="shared" si="31"/>
        <v>1.8477579895308557E-2</v>
      </c>
      <c r="I80" s="43">
        <v>4055.7</v>
      </c>
      <c r="J80" s="43"/>
      <c r="K80" s="43"/>
      <c r="L80" s="43">
        <f t="shared" si="30"/>
        <v>4055.7</v>
      </c>
      <c r="M80" s="43">
        <v>1590.2</v>
      </c>
      <c r="N80" s="43">
        <f t="shared" si="21"/>
        <v>-2465.5</v>
      </c>
      <c r="O80" s="43">
        <f t="shared" si="22"/>
        <v>39.20901447345711</v>
      </c>
      <c r="P80" s="43">
        <v>11579.3</v>
      </c>
      <c r="Q80" s="44">
        <f t="shared" si="23"/>
        <v>4.7243879049810707E-2</v>
      </c>
      <c r="R80" s="43">
        <f t="shared" si="24"/>
        <v>2930.016717473839</v>
      </c>
      <c r="S80" s="43"/>
      <c r="T80" s="43"/>
      <c r="U80" s="43"/>
      <c r="V80" s="43"/>
      <c r="W80" s="43"/>
      <c r="X80" s="43">
        <f t="shared" si="25"/>
        <v>2930.016717473839</v>
      </c>
      <c r="Y80" s="43">
        <v>1749</v>
      </c>
      <c r="Z80" s="43">
        <f t="shared" si="32"/>
        <v>1749</v>
      </c>
      <c r="AA80" s="43"/>
      <c r="AB80" s="43"/>
      <c r="AC80" s="43"/>
      <c r="AD80" s="43">
        <f t="shared" si="26"/>
        <v>1749</v>
      </c>
      <c r="AE80" s="43">
        <f>7252-4000</f>
        <v>3252</v>
      </c>
      <c r="AF80" s="43"/>
      <c r="AG80" s="43"/>
      <c r="AH80" s="42">
        <f t="shared" si="27"/>
        <v>3252</v>
      </c>
      <c r="AI80" s="41">
        <v>2000</v>
      </c>
      <c r="AJ80" s="40">
        <v>2000</v>
      </c>
      <c r="AK80" s="49">
        <f>2202.4-700</f>
        <v>1502.4</v>
      </c>
      <c r="AL80" s="39">
        <f t="shared" si="28"/>
        <v>1502.4</v>
      </c>
      <c r="AM80" s="49"/>
      <c r="AN80" s="49">
        <f t="shared" si="29"/>
        <v>1502.4</v>
      </c>
    </row>
    <row r="81" spans="1:40" s="18" customFormat="1" ht="20.399999999999999" x14ac:dyDescent="0.25">
      <c r="A81" s="46">
        <v>16210</v>
      </c>
      <c r="B81" s="45" t="s">
        <v>223</v>
      </c>
      <c r="C81" s="43">
        <v>45454.9</v>
      </c>
      <c r="D81" s="43">
        <f t="shared" si="19"/>
        <v>3787.9083333333333</v>
      </c>
      <c r="E81" s="43">
        <v>2538.8000000000002</v>
      </c>
      <c r="F81" s="43">
        <v>2656</v>
      </c>
      <c r="G81" s="43">
        <f t="shared" si="20"/>
        <v>10590.991700000002</v>
      </c>
      <c r="H81" s="44">
        <f t="shared" si="31"/>
        <v>2.8627298550596158E-2</v>
      </c>
      <c r="I81" s="43">
        <v>5480.2</v>
      </c>
      <c r="J81" s="43"/>
      <c r="K81" s="43"/>
      <c r="L81" s="43">
        <f t="shared" si="30"/>
        <v>5480.2</v>
      </c>
      <c r="M81" s="43">
        <v>5480.2</v>
      </c>
      <c r="N81" s="43">
        <f t="shared" si="21"/>
        <v>0</v>
      </c>
      <c r="O81" s="43">
        <f t="shared" si="22"/>
        <v>100</v>
      </c>
      <c r="P81" s="43">
        <v>11889.300000000001</v>
      </c>
      <c r="Q81" s="44">
        <f t="shared" si="23"/>
        <v>4.8508688019734743E-2</v>
      </c>
      <c r="R81" s="43">
        <f t="shared" si="24"/>
        <v>3008.4588670352887</v>
      </c>
      <c r="S81" s="43"/>
      <c r="T81" s="43"/>
      <c r="U81" s="43"/>
      <c r="V81" s="43"/>
      <c r="W81" s="43"/>
      <c r="X81" s="43">
        <f t="shared" si="25"/>
        <v>3008.4588670352887</v>
      </c>
      <c r="Y81" s="43">
        <v>3199</v>
      </c>
      <c r="Z81" s="43">
        <f t="shared" si="32"/>
        <v>3199</v>
      </c>
      <c r="AA81" s="43"/>
      <c r="AB81" s="43"/>
      <c r="AC81" s="43"/>
      <c r="AD81" s="43">
        <f t="shared" si="26"/>
        <v>3199</v>
      </c>
      <c r="AE81" s="43">
        <v>4958.2</v>
      </c>
      <c r="AF81" s="43"/>
      <c r="AG81" s="43"/>
      <c r="AH81" s="42">
        <f t="shared" si="27"/>
        <v>4958.2</v>
      </c>
      <c r="AI81" s="41">
        <f>3200+2500</f>
        <v>5700</v>
      </c>
      <c r="AJ81" s="40">
        <v>5700</v>
      </c>
      <c r="AK81" s="49">
        <f>5949.2-1500</f>
        <v>4449.2</v>
      </c>
      <c r="AL81" s="39">
        <f t="shared" si="28"/>
        <v>4449.2</v>
      </c>
      <c r="AM81" s="49"/>
      <c r="AN81" s="49">
        <f t="shared" si="29"/>
        <v>4449.2</v>
      </c>
    </row>
    <row r="82" spans="1:40" s="18" customFormat="1" ht="20.399999999999999" x14ac:dyDescent="0.25">
      <c r="A82" s="46">
        <v>16310</v>
      </c>
      <c r="B82" s="45" t="s">
        <v>222</v>
      </c>
      <c r="C82" s="43">
        <f>19551.3+19533.3</f>
        <v>39084.6</v>
      </c>
      <c r="D82" s="43">
        <f t="shared" si="19"/>
        <v>3257.0499999999997</v>
      </c>
      <c r="E82" s="43">
        <v>2813.2</v>
      </c>
      <c r="F82" s="43">
        <v>4201.6000000000004</v>
      </c>
      <c r="G82" s="43">
        <f t="shared" si="20"/>
        <v>9106.7118000000009</v>
      </c>
      <c r="H82" s="44">
        <f t="shared" si="31"/>
        <v>3.8656882627381595E-2</v>
      </c>
      <c r="I82" s="43">
        <f>7990664.7*H82/100</f>
        <v>3088.9418742266134</v>
      </c>
      <c r="J82" s="43"/>
      <c r="K82" s="43"/>
      <c r="L82" s="43">
        <f t="shared" si="30"/>
        <v>3088.9418742266134</v>
      </c>
      <c r="M82" s="43">
        <v>493.9</v>
      </c>
      <c r="N82" s="43">
        <f t="shared" si="21"/>
        <v>-2595.0418742266133</v>
      </c>
      <c r="O82" s="43">
        <f t="shared" si="22"/>
        <v>15.989294072542529</v>
      </c>
      <c r="P82" s="43">
        <v>10554.7</v>
      </c>
      <c r="Q82" s="44">
        <f t="shared" si="23"/>
        <v>4.306348140276503E-2</v>
      </c>
      <c r="R82" s="43">
        <f t="shared" si="24"/>
        <v>2670.7527612136419</v>
      </c>
      <c r="S82" s="43"/>
      <c r="T82" s="43"/>
      <c r="U82" s="43"/>
      <c r="V82" s="43"/>
      <c r="W82" s="43"/>
      <c r="X82" s="43">
        <f t="shared" si="25"/>
        <v>2670.7527612136419</v>
      </c>
      <c r="Y82" s="43">
        <v>2157</v>
      </c>
      <c r="Z82" s="43">
        <f t="shared" si="32"/>
        <v>2157</v>
      </c>
      <c r="AA82" s="43"/>
      <c r="AB82" s="43"/>
      <c r="AC82" s="43"/>
      <c r="AD82" s="43">
        <f t="shared" si="26"/>
        <v>2157</v>
      </c>
      <c r="AE82" s="43">
        <v>4171.1000000000004</v>
      </c>
      <c r="AF82" s="43"/>
      <c r="AG82" s="43"/>
      <c r="AH82" s="42">
        <f t="shared" si="27"/>
        <v>4171.1000000000004</v>
      </c>
      <c r="AI82" s="41">
        <v>3259.3</v>
      </c>
      <c r="AJ82" s="40">
        <v>2562.3000000000002</v>
      </c>
      <c r="AK82" s="49">
        <f>5720.9-3000</f>
        <v>2720.8999999999996</v>
      </c>
      <c r="AL82" s="39">
        <f t="shared" si="28"/>
        <v>2720.8999999999996</v>
      </c>
      <c r="AM82" s="49"/>
      <c r="AN82" s="49">
        <f t="shared" si="29"/>
        <v>2720.8999999999996</v>
      </c>
    </row>
    <row r="83" spans="1:40" s="18" customFormat="1" ht="20.399999999999999" x14ac:dyDescent="0.25">
      <c r="A83" s="46">
        <v>16320</v>
      </c>
      <c r="B83" s="45" t="s">
        <v>221</v>
      </c>
      <c r="C83" s="43">
        <v>888277.7</v>
      </c>
      <c r="D83" s="43">
        <f t="shared" si="19"/>
        <v>74023.141666666663</v>
      </c>
      <c r="E83" s="43">
        <v>67551.3</v>
      </c>
      <c r="F83" s="43">
        <v>107568.8</v>
      </c>
      <c r="G83" s="43">
        <f t="shared" si="20"/>
        <v>206968.7041</v>
      </c>
      <c r="H83" s="44">
        <f t="shared" si="31"/>
        <v>0.96504492664015051</v>
      </c>
      <c r="I83" s="43">
        <f>7990664.7*H83/100</f>
        <v>77113.504292175407</v>
      </c>
      <c r="J83" s="43"/>
      <c r="K83" s="43"/>
      <c r="L83" s="43">
        <f t="shared" si="30"/>
        <v>77113.504292175407</v>
      </c>
      <c r="M83" s="43">
        <v>23562.9</v>
      </c>
      <c r="N83" s="43">
        <f t="shared" si="21"/>
        <v>-53550.604292175405</v>
      </c>
      <c r="O83" s="43">
        <f t="shared" si="22"/>
        <v>30.556126603613443</v>
      </c>
      <c r="P83" s="43">
        <v>230395.99999999997</v>
      </c>
      <c r="Q83" s="44">
        <f t="shared" si="23"/>
        <v>0.94002234656327988</v>
      </c>
      <c r="R83" s="43">
        <f t="shared" si="24"/>
        <v>58299.217710837656</v>
      </c>
      <c r="S83" s="43"/>
      <c r="T83" s="43"/>
      <c r="U83" s="43"/>
      <c r="V83" s="43"/>
      <c r="W83" s="43"/>
      <c r="X83" s="43">
        <f t="shared" si="25"/>
        <v>58299.217710837656</v>
      </c>
      <c r="Y83" s="43">
        <v>58540</v>
      </c>
      <c r="Z83" s="43">
        <f t="shared" si="32"/>
        <v>58540</v>
      </c>
      <c r="AA83" s="43"/>
      <c r="AB83" s="43"/>
      <c r="AC83" s="43"/>
      <c r="AD83" s="43">
        <f t="shared" si="26"/>
        <v>58540</v>
      </c>
      <c r="AE83" s="43">
        <v>98432.5</v>
      </c>
      <c r="AF83" s="43"/>
      <c r="AG83" s="43"/>
      <c r="AH83" s="42">
        <f t="shared" si="27"/>
        <v>98432.5</v>
      </c>
      <c r="AI83" s="41">
        <v>72087.600000000006</v>
      </c>
      <c r="AJ83" s="40">
        <v>61578.1</v>
      </c>
      <c r="AK83" s="49">
        <f>74763.5-11000</f>
        <v>63763.5</v>
      </c>
      <c r="AL83" s="39">
        <f t="shared" si="28"/>
        <v>63763.5</v>
      </c>
      <c r="AM83" s="49"/>
      <c r="AN83" s="49">
        <f t="shared" si="29"/>
        <v>63763.5</v>
      </c>
    </row>
    <row r="84" spans="1:40" s="18" customFormat="1" ht="13.2" x14ac:dyDescent="0.25">
      <c r="A84" s="46">
        <v>17110</v>
      </c>
      <c r="B84" s="45" t="s">
        <v>220</v>
      </c>
      <c r="C84" s="43">
        <f>137196+17927.4</f>
        <v>155123.4</v>
      </c>
      <c r="D84" s="43">
        <f t="shared" si="19"/>
        <v>12926.949999999999</v>
      </c>
      <c r="E84" s="43">
        <v>12049.7</v>
      </c>
      <c r="F84" s="43">
        <v>12640.4</v>
      </c>
      <c r="G84" s="43">
        <f t="shared" si="20"/>
        <v>36143.752200000003</v>
      </c>
      <c r="H84" s="44">
        <f t="shared" si="31"/>
        <v>0.13606122737046161</v>
      </c>
      <c r="I84" s="43">
        <v>11307.7</v>
      </c>
      <c r="J84" s="43"/>
      <c r="K84" s="43"/>
      <c r="L84" s="43">
        <f t="shared" si="30"/>
        <v>11307.7</v>
      </c>
      <c r="M84" s="43">
        <v>10307.700000000001</v>
      </c>
      <c r="N84" s="43">
        <f t="shared" si="21"/>
        <v>-1000</v>
      </c>
      <c r="O84" s="43">
        <f t="shared" si="22"/>
        <v>91.15646860104178</v>
      </c>
      <c r="P84" s="43">
        <v>40555.199999999997</v>
      </c>
      <c r="Q84" s="44">
        <f t="shared" si="23"/>
        <v>0.16546638947439682</v>
      </c>
      <c r="R84" s="43">
        <f t="shared" si="24"/>
        <v>10262.055044820932</v>
      </c>
      <c r="S84" s="43"/>
      <c r="T84" s="43"/>
      <c r="U84" s="43"/>
      <c r="V84" s="43"/>
      <c r="W84" s="43"/>
      <c r="X84" s="43">
        <f t="shared" si="25"/>
        <v>10262.055044820932</v>
      </c>
      <c r="Y84" s="43">
        <v>12095</v>
      </c>
      <c r="Z84" s="43">
        <f t="shared" si="32"/>
        <v>12095</v>
      </c>
      <c r="AA84" s="43"/>
      <c r="AB84" s="43"/>
      <c r="AC84" s="43"/>
      <c r="AD84" s="43">
        <f t="shared" si="26"/>
        <v>12095</v>
      </c>
      <c r="AE84" s="43">
        <f>19339.8-6000</f>
        <v>13339.8</v>
      </c>
      <c r="AF84" s="43"/>
      <c r="AG84" s="43"/>
      <c r="AH84" s="42">
        <f t="shared" si="27"/>
        <v>13339.8</v>
      </c>
      <c r="AI84" s="41">
        <v>13006.1</v>
      </c>
      <c r="AJ84" s="40">
        <v>19114.900000000001</v>
      </c>
      <c r="AK84" s="49">
        <f>15914.8-2000</f>
        <v>13914.8</v>
      </c>
      <c r="AL84" s="39">
        <f t="shared" si="28"/>
        <v>13914.8</v>
      </c>
      <c r="AM84" s="49"/>
      <c r="AN84" s="49">
        <f t="shared" si="29"/>
        <v>13914.8</v>
      </c>
    </row>
    <row r="85" spans="1:40" s="18" customFormat="1" ht="13.2" x14ac:dyDescent="0.25">
      <c r="A85" s="46">
        <v>17120</v>
      </c>
      <c r="B85" s="45" t="s">
        <v>219</v>
      </c>
      <c r="C85" s="43">
        <f>77787.4+8872.6</f>
        <v>86660</v>
      </c>
      <c r="D85" s="43">
        <f t="shared" si="19"/>
        <v>7221.666666666667</v>
      </c>
      <c r="E85" s="43">
        <v>6684.7</v>
      </c>
      <c r="F85" s="43">
        <v>7388.3</v>
      </c>
      <c r="G85" s="43">
        <f t="shared" si="20"/>
        <v>20191.78</v>
      </c>
      <c r="H85" s="44">
        <f t="shared" si="31"/>
        <v>7.7552932259671151E-2</v>
      </c>
      <c r="I85" s="43">
        <f>7990664.7*H85/100+1024.7</f>
        <v>7221.6947818884555</v>
      </c>
      <c r="J85" s="43"/>
      <c r="K85" s="43"/>
      <c r="L85" s="43">
        <f t="shared" si="30"/>
        <v>7221.6947818884555</v>
      </c>
      <c r="M85" s="43">
        <v>6220.9</v>
      </c>
      <c r="N85" s="43">
        <f t="shared" si="21"/>
        <v>-1000.7947818884559</v>
      </c>
      <c r="O85" s="43">
        <f t="shared" si="22"/>
        <v>86.141829416574296</v>
      </c>
      <c r="P85" s="43">
        <v>22632.799999999996</v>
      </c>
      <c r="Q85" s="44">
        <f t="shared" si="23"/>
        <v>9.234247888547284E-2</v>
      </c>
      <c r="R85" s="43">
        <f t="shared" si="24"/>
        <v>5726.9854277237737</v>
      </c>
      <c r="S85" s="43"/>
      <c r="T85" s="43"/>
      <c r="U85" s="43"/>
      <c r="V85" s="43"/>
      <c r="W85" s="43"/>
      <c r="X85" s="43">
        <f t="shared" si="25"/>
        <v>5726.9854277237737</v>
      </c>
      <c r="Y85" s="43">
        <v>6987</v>
      </c>
      <c r="Z85" s="43">
        <f t="shared" si="32"/>
        <v>6987</v>
      </c>
      <c r="AA85" s="43"/>
      <c r="AB85" s="43"/>
      <c r="AC85" s="43"/>
      <c r="AD85" s="43">
        <f t="shared" si="26"/>
        <v>6987</v>
      </c>
      <c r="AE85" s="43">
        <f>9988.4-2000</f>
        <v>7988.4</v>
      </c>
      <c r="AF85" s="43"/>
      <c r="AG85" s="43"/>
      <c r="AH85" s="42">
        <f t="shared" si="27"/>
        <v>7988.4</v>
      </c>
      <c r="AI85" s="41">
        <v>5833.6</v>
      </c>
      <c r="AJ85" s="40">
        <v>8536.2000000000007</v>
      </c>
      <c r="AK85" s="49">
        <f>9699.3-2000</f>
        <v>7699.2999999999993</v>
      </c>
      <c r="AL85" s="39">
        <f t="shared" si="28"/>
        <v>7699.2999999999993</v>
      </c>
      <c r="AM85" s="49"/>
      <c r="AN85" s="49">
        <f t="shared" si="29"/>
        <v>7699.2999999999993</v>
      </c>
    </row>
    <row r="86" spans="1:40" s="18" customFormat="1" ht="20.399999999999999" x14ac:dyDescent="0.25">
      <c r="A86" s="46">
        <v>18110</v>
      </c>
      <c r="B86" s="45" t="s">
        <v>218</v>
      </c>
      <c r="C86" s="43">
        <v>74016.100000000006</v>
      </c>
      <c r="D86" s="43">
        <f t="shared" si="19"/>
        <v>6168.0083333333341</v>
      </c>
      <c r="E86" s="43">
        <v>6063.8</v>
      </c>
      <c r="F86" s="43">
        <v>6066</v>
      </c>
      <c r="G86" s="43">
        <f t="shared" si="20"/>
        <v>17245.7513</v>
      </c>
      <c r="H86" s="44">
        <f t="shared" si="31"/>
        <v>6.6844422491534078E-2</v>
      </c>
      <c r="I86" s="43">
        <v>5194.3999999999996</v>
      </c>
      <c r="J86" s="43"/>
      <c r="K86" s="43"/>
      <c r="L86" s="43">
        <f t="shared" si="30"/>
        <v>5194.3999999999996</v>
      </c>
      <c r="M86" s="43">
        <v>5027.5</v>
      </c>
      <c r="N86" s="43">
        <f t="shared" si="21"/>
        <v>-166.89999999999964</v>
      </c>
      <c r="O86" s="43">
        <f t="shared" si="22"/>
        <v>96.786924380101652</v>
      </c>
      <c r="P86" s="43">
        <v>19241.999999999996</v>
      </c>
      <c r="Q86" s="44">
        <f t="shared" si="23"/>
        <v>7.8507916771865097E-2</v>
      </c>
      <c r="R86" s="43">
        <f t="shared" si="24"/>
        <v>4868.9801350367979</v>
      </c>
      <c r="S86" s="43"/>
      <c r="T86" s="43"/>
      <c r="U86" s="43"/>
      <c r="V86" s="43"/>
      <c r="W86" s="43"/>
      <c r="X86" s="43">
        <f t="shared" si="25"/>
        <v>4868.9801350367979</v>
      </c>
      <c r="Y86" s="43">
        <v>5830</v>
      </c>
      <c r="Z86" s="43">
        <f t="shared" si="32"/>
        <v>5830</v>
      </c>
      <c r="AA86" s="43"/>
      <c r="AB86" s="43"/>
      <c r="AC86" s="43"/>
      <c r="AD86" s="43">
        <f t="shared" si="26"/>
        <v>5830</v>
      </c>
      <c r="AE86" s="43">
        <v>7130.4</v>
      </c>
      <c r="AF86" s="43"/>
      <c r="AG86" s="43"/>
      <c r="AH86" s="42">
        <f t="shared" si="27"/>
        <v>7130.4</v>
      </c>
      <c r="AI86" s="41">
        <v>5671.7</v>
      </c>
      <c r="AJ86" s="40">
        <v>6098.1</v>
      </c>
      <c r="AK86" s="49">
        <f>5700-700</f>
        <v>5000</v>
      </c>
      <c r="AL86" s="39">
        <f t="shared" si="28"/>
        <v>5000</v>
      </c>
      <c r="AM86" s="49"/>
      <c r="AN86" s="49">
        <f t="shared" si="29"/>
        <v>5000</v>
      </c>
    </row>
    <row r="87" spans="1:40" s="18" customFormat="1" ht="20.399999999999999" x14ac:dyDescent="0.25">
      <c r="A87" s="46">
        <v>18120</v>
      </c>
      <c r="B87" s="45" t="s">
        <v>217</v>
      </c>
      <c r="C87" s="43">
        <v>263112.5</v>
      </c>
      <c r="D87" s="43">
        <f t="shared" si="19"/>
        <v>21926.041666666668</v>
      </c>
      <c r="E87" s="43">
        <v>690.5</v>
      </c>
      <c r="F87" s="43">
        <v>27251.4</v>
      </c>
      <c r="G87" s="43">
        <f t="shared" si="20"/>
        <v>61305.212500000001</v>
      </c>
      <c r="H87" s="44">
        <f t="shared" si="31"/>
        <v>0.1539811183050171</v>
      </c>
      <c r="I87" s="43">
        <v>19621.099999999999</v>
      </c>
      <c r="J87" s="43"/>
      <c r="K87" s="43"/>
      <c r="L87" s="43">
        <f t="shared" si="30"/>
        <v>19621.099999999999</v>
      </c>
      <c r="M87" s="43">
        <v>1461.5</v>
      </c>
      <c r="N87" s="43">
        <f t="shared" si="21"/>
        <v>-18159.599999999999</v>
      </c>
      <c r="O87" s="43">
        <f t="shared" si="22"/>
        <v>7.4486139920799559</v>
      </c>
      <c r="P87" s="43">
        <v>70824.2</v>
      </c>
      <c r="Q87" s="44">
        <f t="shared" si="23"/>
        <v>0.28896478531514025</v>
      </c>
      <c r="R87" s="43">
        <f t="shared" si="24"/>
        <v>17921.298351516121</v>
      </c>
      <c r="S87" s="43"/>
      <c r="T87" s="43"/>
      <c r="U87" s="43"/>
      <c r="V87" s="43"/>
      <c r="W87" s="43"/>
      <c r="X87" s="43">
        <f t="shared" si="25"/>
        <v>17921.298351516121</v>
      </c>
      <c r="Y87" s="43">
        <v>8430</v>
      </c>
      <c r="Z87" s="43">
        <f t="shared" si="32"/>
        <v>8430</v>
      </c>
      <c r="AA87" s="43"/>
      <c r="AB87" s="43"/>
      <c r="AC87" s="43"/>
      <c r="AD87" s="43">
        <f t="shared" si="26"/>
        <v>8430</v>
      </c>
      <c r="AE87" s="43">
        <f>36789.6/1.5-22000</f>
        <v>2526.3999999999978</v>
      </c>
      <c r="AF87" s="43"/>
      <c r="AG87" s="43"/>
      <c r="AH87" s="42">
        <f t="shared" si="27"/>
        <v>2526.3999999999978</v>
      </c>
      <c r="AI87" s="41">
        <v>2526.4</v>
      </c>
      <c r="AJ87" s="40">
        <v>2526.4</v>
      </c>
      <c r="AK87" s="49">
        <f>100000-97500</f>
        <v>2500</v>
      </c>
      <c r="AL87" s="39">
        <f t="shared" si="28"/>
        <v>2500</v>
      </c>
      <c r="AM87" s="49">
        <v>70000</v>
      </c>
      <c r="AN87" s="49">
        <f t="shared" si="29"/>
        <v>72500</v>
      </c>
    </row>
    <row r="88" spans="1:40" s="18" customFormat="1" ht="13.2" x14ac:dyDescent="0.25">
      <c r="A88" s="46">
        <v>19110</v>
      </c>
      <c r="B88" s="45" t="s">
        <v>216</v>
      </c>
      <c r="C88" s="43">
        <v>84964.3</v>
      </c>
      <c r="D88" s="43">
        <f t="shared" si="19"/>
        <v>7080.3583333333336</v>
      </c>
      <c r="E88" s="43">
        <v>8472.2999999999993</v>
      </c>
      <c r="F88" s="43">
        <v>8505.2999999999993</v>
      </c>
      <c r="G88" s="43">
        <f t="shared" si="20"/>
        <v>19796.681900000003</v>
      </c>
      <c r="H88" s="44">
        <f t="shared" si="31"/>
        <v>9.3559487154962886E-2</v>
      </c>
      <c r="I88" s="43">
        <v>2517.1</v>
      </c>
      <c r="J88" s="43"/>
      <c r="K88" s="43">
        <v>6763.3</v>
      </c>
      <c r="L88" s="43">
        <f t="shared" si="30"/>
        <v>9280.4</v>
      </c>
      <c r="M88" s="43">
        <v>9280.4</v>
      </c>
      <c r="N88" s="43">
        <f t="shared" si="21"/>
        <v>0</v>
      </c>
      <c r="O88" s="43">
        <f t="shared" si="22"/>
        <v>100</v>
      </c>
      <c r="P88" s="43">
        <v>29746.800000000003</v>
      </c>
      <c r="Q88" s="44">
        <f t="shared" si="23"/>
        <v>0.12136780473076174</v>
      </c>
      <c r="R88" s="43">
        <f t="shared" si="24"/>
        <v>7527.10624056297</v>
      </c>
      <c r="S88" s="43"/>
      <c r="T88" s="43"/>
      <c r="U88" s="43"/>
      <c r="V88" s="43"/>
      <c r="W88" s="43"/>
      <c r="X88" s="43">
        <f t="shared" si="25"/>
        <v>7527.10624056297</v>
      </c>
      <c r="Y88" s="43">
        <v>8395</v>
      </c>
      <c r="Z88" s="43">
        <f t="shared" si="32"/>
        <v>8395</v>
      </c>
      <c r="AA88" s="43"/>
      <c r="AB88" s="43"/>
      <c r="AC88" s="43"/>
      <c r="AD88" s="43">
        <f t="shared" si="26"/>
        <v>8395</v>
      </c>
      <c r="AE88" s="43">
        <f>17986.9-6000</f>
        <v>11986.900000000001</v>
      </c>
      <c r="AF88" s="43"/>
      <c r="AG88" s="43"/>
      <c r="AH88" s="42">
        <f t="shared" si="27"/>
        <v>11986.900000000001</v>
      </c>
      <c r="AI88" s="41">
        <v>7625.4</v>
      </c>
      <c r="AJ88" s="40">
        <v>7070.8</v>
      </c>
      <c r="AK88" s="49">
        <f>9482.96666666667-2000</f>
        <v>7482.9666666666708</v>
      </c>
      <c r="AL88" s="39">
        <f t="shared" si="28"/>
        <v>7482.9666666666708</v>
      </c>
      <c r="AM88" s="49"/>
      <c r="AN88" s="49">
        <f t="shared" si="29"/>
        <v>7482.9666666666708</v>
      </c>
    </row>
    <row r="89" spans="1:40" s="18" customFormat="1" ht="13.2" x14ac:dyDescent="0.25">
      <c r="A89" s="46">
        <v>19120</v>
      </c>
      <c r="B89" s="45" t="s">
        <v>215</v>
      </c>
      <c r="C89" s="43">
        <v>343427.1</v>
      </c>
      <c r="D89" s="43">
        <f t="shared" si="19"/>
        <v>28618.924999999999</v>
      </c>
      <c r="E89" s="43">
        <v>36904</v>
      </c>
      <c r="F89" s="43">
        <v>37437.599999999999</v>
      </c>
      <c r="G89" s="43">
        <f t="shared" si="20"/>
        <v>80018.514299999995</v>
      </c>
      <c r="H89" s="44">
        <f t="shared" si="31"/>
        <v>0.40967875143008375</v>
      </c>
      <c r="I89" s="43">
        <v>6460</v>
      </c>
      <c r="J89" s="43"/>
      <c r="K89" s="43">
        <v>28682.5</v>
      </c>
      <c r="L89" s="43">
        <f t="shared" si="30"/>
        <v>35142.5</v>
      </c>
      <c r="M89" s="43">
        <v>35142.5</v>
      </c>
      <c r="N89" s="43">
        <f t="shared" si="21"/>
        <v>0</v>
      </c>
      <c r="O89" s="43">
        <f t="shared" si="22"/>
        <v>100</v>
      </c>
      <c r="P89" s="43">
        <v>121419.4</v>
      </c>
      <c r="Q89" s="44">
        <f t="shared" si="23"/>
        <v>0.49539466529933468</v>
      </c>
      <c r="R89" s="43">
        <f t="shared" si="24"/>
        <v>30723.866885359479</v>
      </c>
      <c r="S89" s="43"/>
      <c r="T89" s="43"/>
      <c r="U89" s="43"/>
      <c r="V89" s="43"/>
      <c r="W89" s="43"/>
      <c r="X89" s="43">
        <f t="shared" si="25"/>
        <v>30723.866885359479</v>
      </c>
      <c r="Y89" s="43">
        <v>37910</v>
      </c>
      <c r="Z89" s="43">
        <f t="shared" si="32"/>
        <v>37910</v>
      </c>
      <c r="AA89" s="43"/>
      <c r="AB89" s="43"/>
      <c r="AC89" s="43"/>
      <c r="AD89" s="43">
        <f t="shared" si="26"/>
        <v>37910</v>
      </c>
      <c r="AE89" s="43">
        <f>71082.1-31000</f>
        <v>40082.100000000006</v>
      </c>
      <c r="AF89" s="43"/>
      <c r="AG89" s="43"/>
      <c r="AH89" s="42">
        <f t="shared" si="27"/>
        <v>40082.100000000006</v>
      </c>
      <c r="AI89" s="41">
        <v>35498</v>
      </c>
      <c r="AJ89" s="40">
        <v>27356.5</v>
      </c>
      <c r="AK89" s="49">
        <v>30320.05</v>
      </c>
      <c r="AL89" s="39">
        <f t="shared" si="28"/>
        <v>30320.05</v>
      </c>
      <c r="AM89" s="49"/>
      <c r="AN89" s="49">
        <f t="shared" si="29"/>
        <v>30320.05</v>
      </c>
    </row>
    <row r="90" spans="1:40" s="18" customFormat="1" ht="13.2" x14ac:dyDescent="0.25">
      <c r="A90" s="46">
        <v>20110</v>
      </c>
      <c r="B90" s="45" t="s">
        <v>214</v>
      </c>
      <c r="C90" s="43">
        <v>23743</v>
      </c>
      <c r="D90" s="43">
        <f t="shared" si="19"/>
        <v>1978.5833333333333</v>
      </c>
      <c r="E90" s="43">
        <v>1961.7</v>
      </c>
      <c r="F90" s="43">
        <v>3587</v>
      </c>
      <c r="G90" s="43">
        <f t="shared" si="20"/>
        <v>5532.1190000000006</v>
      </c>
      <c r="H90" s="44">
        <f t="shared" si="31"/>
        <v>3.0577556685087565E-2</v>
      </c>
      <c r="I90" s="43">
        <v>1661.5</v>
      </c>
      <c r="J90" s="43"/>
      <c r="K90" s="43"/>
      <c r="L90" s="43">
        <f t="shared" si="30"/>
        <v>1661.5</v>
      </c>
      <c r="M90" s="43">
        <v>1661.5</v>
      </c>
      <c r="N90" s="43">
        <f t="shared" si="21"/>
        <v>0</v>
      </c>
      <c r="O90" s="43">
        <f t="shared" si="22"/>
        <v>100</v>
      </c>
      <c r="P90" s="43">
        <v>5629.7</v>
      </c>
      <c r="Q90" s="44">
        <f t="shared" si="23"/>
        <v>2.2969338896713907E-2</v>
      </c>
      <c r="R90" s="43">
        <f t="shared" si="24"/>
        <v>1424.5347399551329</v>
      </c>
      <c r="S90" s="43"/>
      <c r="T90" s="43"/>
      <c r="U90" s="43">
        <v>111</v>
      </c>
      <c r="V90" s="43"/>
      <c r="W90" s="43"/>
      <c r="X90" s="43">
        <f t="shared" si="25"/>
        <v>1535.5347399551329</v>
      </c>
      <c r="Y90" s="43">
        <v>1877</v>
      </c>
      <c r="Z90" s="43">
        <f t="shared" si="32"/>
        <v>1877</v>
      </c>
      <c r="AA90" s="43"/>
      <c r="AB90" s="43"/>
      <c r="AC90" s="43"/>
      <c r="AD90" s="43">
        <f t="shared" si="26"/>
        <v>1877</v>
      </c>
      <c r="AE90" s="43">
        <v>2328.1999999999998</v>
      </c>
      <c r="AF90" s="43"/>
      <c r="AG90" s="43"/>
      <c r="AH90" s="42">
        <f t="shared" si="27"/>
        <v>2328.1999999999998</v>
      </c>
      <c r="AI90" s="41">
        <f>1625.7+153.6</f>
        <v>1779.3</v>
      </c>
      <c r="AJ90" s="40">
        <v>1763.7</v>
      </c>
      <c r="AK90" s="49">
        <v>1748.4</v>
      </c>
      <c r="AL90" s="39">
        <f t="shared" si="28"/>
        <v>1748.4</v>
      </c>
      <c r="AM90" s="49"/>
      <c r="AN90" s="49">
        <f t="shared" si="29"/>
        <v>1748.4</v>
      </c>
    </row>
    <row r="91" spans="1:40" s="18" customFormat="1" ht="13.2" x14ac:dyDescent="0.25">
      <c r="A91" s="46">
        <v>21110</v>
      </c>
      <c r="B91" s="45" t="s">
        <v>213</v>
      </c>
      <c r="C91" s="43">
        <v>28596.7</v>
      </c>
      <c r="D91" s="43">
        <f t="shared" si="19"/>
        <v>2383.0583333333334</v>
      </c>
      <c r="E91" s="43">
        <v>2382</v>
      </c>
      <c r="F91" s="43">
        <v>2227.9</v>
      </c>
      <c r="G91" s="43">
        <f t="shared" si="20"/>
        <v>6663.0311000000002</v>
      </c>
      <c r="H91" s="44">
        <f t="shared" si="31"/>
        <v>2.5404054744820437E-2</v>
      </c>
      <c r="I91" s="43">
        <v>2004.9</v>
      </c>
      <c r="J91" s="43"/>
      <c r="K91" s="43"/>
      <c r="L91" s="43">
        <f t="shared" si="30"/>
        <v>2004.9</v>
      </c>
      <c r="M91" s="43">
        <v>2004.9</v>
      </c>
      <c r="N91" s="43">
        <f t="shared" si="21"/>
        <v>0</v>
      </c>
      <c r="O91" s="43">
        <f t="shared" si="22"/>
        <v>100</v>
      </c>
      <c r="P91" s="43">
        <v>7587.2999999999993</v>
      </c>
      <c r="Q91" s="44">
        <f t="shared" si="23"/>
        <v>3.095640354033739E-2</v>
      </c>
      <c r="R91" s="43">
        <f t="shared" si="24"/>
        <v>1919.8842624760782</v>
      </c>
      <c r="S91" s="43"/>
      <c r="T91" s="43"/>
      <c r="U91" s="43"/>
      <c r="V91" s="43"/>
      <c r="W91" s="43"/>
      <c r="X91" s="43">
        <f t="shared" si="25"/>
        <v>1919.8842624760782</v>
      </c>
      <c r="Y91" s="43">
        <v>2144</v>
      </c>
      <c r="Z91" s="43">
        <f t="shared" si="32"/>
        <v>2144</v>
      </c>
      <c r="AA91" s="43"/>
      <c r="AB91" s="43"/>
      <c r="AC91" s="43"/>
      <c r="AD91" s="43">
        <f t="shared" si="26"/>
        <v>2144</v>
      </c>
      <c r="AE91" s="43">
        <v>2863.85</v>
      </c>
      <c r="AF91" s="43"/>
      <c r="AG91" s="43"/>
      <c r="AH91" s="42">
        <f t="shared" si="27"/>
        <v>2863.85</v>
      </c>
      <c r="AI91" s="41">
        <v>2300.9</v>
      </c>
      <c r="AJ91" s="40">
        <v>2318.1999999999998</v>
      </c>
      <c r="AK91" s="49">
        <f>4188.5-2000</f>
        <v>2188.5</v>
      </c>
      <c r="AL91" s="39">
        <f t="shared" si="28"/>
        <v>2188.5</v>
      </c>
      <c r="AM91" s="49"/>
      <c r="AN91" s="49">
        <f t="shared" si="29"/>
        <v>2188.5</v>
      </c>
    </row>
    <row r="92" spans="1:40" s="18" customFormat="1" ht="13.2" x14ac:dyDescent="0.25">
      <c r="A92" s="46">
        <v>22110</v>
      </c>
      <c r="B92" s="45" t="s">
        <v>212</v>
      </c>
      <c r="C92" s="43">
        <v>25091.3</v>
      </c>
      <c r="D92" s="43">
        <f t="shared" si="19"/>
        <v>2090.9416666666666</v>
      </c>
      <c r="E92" s="43">
        <v>2091</v>
      </c>
      <c r="F92" s="43">
        <v>2093</v>
      </c>
      <c r="G92" s="43">
        <f t="shared" si="20"/>
        <v>5846.2728999999999</v>
      </c>
      <c r="H92" s="44">
        <f t="shared" si="31"/>
        <v>2.3057021855643008E-2</v>
      </c>
      <c r="I92" s="43">
        <v>1975.4</v>
      </c>
      <c r="J92" s="43"/>
      <c r="K92" s="43"/>
      <c r="L92" s="43">
        <f t="shared" si="30"/>
        <v>1975.4</v>
      </c>
      <c r="M92" s="43">
        <v>1975.4</v>
      </c>
      <c r="N92" s="43">
        <f t="shared" si="21"/>
        <v>0</v>
      </c>
      <c r="O92" s="43">
        <f t="shared" si="22"/>
        <v>100</v>
      </c>
      <c r="P92" s="43">
        <v>6447.5</v>
      </c>
      <c r="Q92" s="44">
        <f t="shared" si="23"/>
        <v>2.6305986559952203E-2</v>
      </c>
      <c r="R92" s="43">
        <f t="shared" si="24"/>
        <v>1631.4701912820788</v>
      </c>
      <c r="S92" s="43"/>
      <c r="T92" s="43"/>
      <c r="U92" s="43"/>
      <c r="V92" s="43"/>
      <c r="W92" s="43"/>
      <c r="X92" s="43">
        <f t="shared" si="25"/>
        <v>1631.4701912820788</v>
      </c>
      <c r="Y92" s="43">
        <v>2149</v>
      </c>
      <c r="Z92" s="43">
        <f t="shared" si="32"/>
        <v>2149</v>
      </c>
      <c r="AA92" s="43"/>
      <c r="AB92" s="43"/>
      <c r="AC92" s="43"/>
      <c r="AD92" s="43">
        <f t="shared" si="26"/>
        <v>2149</v>
      </c>
      <c r="AE92" s="43">
        <f>3577.5-500</f>
        <v>3077.5</v>
      </c>
      <c r="AF92" s="43">
        <v>343.4</v>
      </c>
      <c r="AG92" s="43"/>
      <c r="AH92" s="42">
        <f t="shared" si="27"/>
        <v>3420.9</v>
      </c>
      <c r="AI92" s="41">
        <v>2026.2</v>
      </c>
      <c r="AJ92" s="40">
        <v>3022.7</v>
      </c>
      <c r="AK92" s="49">
        <v>1811.2</v>
      </c>
      <c r="AL92" s="39">
        <f t="shared" si="28"/>
        <v>1811.2</v>
      </c>
      <c r="AM92" s="49"/>
      <c r="AN92" s="49">
        <f t="shared" si="29"/>
        <v>1811.2</v>
      </c>
    </row>
    <row r="93" spans="1:40" s="18" customFormat="1" ht="13.2" x14ac:dyDescent="0.25">
      <c r="A93" s="46">
        <v>22120</v>
      </c>
      <c r="B93" s="45" t="s">
        <v>211</v>
      </c>
      <c r="C93" s="43">
        <v>66671.600000000006</v>
      </c>
      <c r="D93" s="43">
        <f t="shared" si="19"/>
        <v>5555.9666666666672</v>
      </c>
      <c r="E93" s="43">
        <v>4722.6000000000004</v>
      </c>
      <c r="F93" s="43">
        <v>5449.8</v>
      </c>
      <c r="G93" s="43">
        <f t="shared" si="20"/>
        <v>15534.482800000003</v>
      </c>
      <c r="H93" s="44">
        <f t="shared" si="31"/>
        <v>5.6057659924556164E-2</v>
      </c>
      <c r="I93" s="43">
        <v>5967.8</v>
      </c>
      <c r="J93" s="43"/>
      <c r="K93" s="43"/>
      <c r="L93" s="43">
        <f t="shared" si="30"/>
        <v>5967.8</v>
      </c>
      <c r="M93" s="43">
        <v>5967.8</v>
      </c>
      <c r="N93" s="43">
        <f t="shared" si="21"/>
        <v>0</v>
      </c>
      <c r="O93" s="43">
        <f t="shared" si="22"/>
        <v>100</v>
      </c>
      <c r="P93" s="43">
        <v>17165.2</v>
      </c>
      <c r="Q93" s="44">
        <f t="shared" si="23"/>
        <v>7.0034512679161165E-2</v>
      </c>
      <c r="R93" s="43">
        <f t="shared" si="24"/>
        <v>4343.4683408135161</v>
      </c>
      <c r="S93" s="43"/>
      <c r="T93" s="43"/>
      <c r="U93" s="43"/>
      <c r="V93" s="43"/>
      <c r="W93" s="43"/>
      <c r="X93" s="43">
        <f t="shared" si="25"/>
        <v>4343.4683408135161</v>
      </c>
      <c r="Y93" s="43">
        <v>5704</v>
      </c>
      <c r="Z93" s="43">
        <f t="shared" si="32"/>
        <v>5704</v>
      </c>
      <c r="AA93" s="43"/>
      <c r="AB93" s="43"/>
      <c r="AC93" s="43"/>
      <c r="AD93" s="43">
        <f t="shared" si="26"/>
        <v>5704</v>
      </c>
      <c r="AE93" s="43">
        <f>7566.3-500</f>
        <v>7066.3</v>
      </c>
      <c r="AF93" s="43"/>
      <c r="AG93" s="43"/>
      <c r="AH93" s="42">
        <f t="shared" si="27"/>
        <v>7066.3</v>
      </c>
      <c r="AI93" s="41">
        <v>5569.5</v>
      </c>
      <c r="AJ93" s="40">
        <v>6658</v>
      </c>
      <c r="AK93" s="49">
        <v>5204.3999999999996</v>
      </c>
      <c r="AL93" s="39">
        <f t="shared" si="28"/>
        <v>5204.3999999999996</v>
      </c>
      <c r="AM93" s="49"/>
      <c r="AN93" s="49">
        <f t="shared" si="29"/>
        <v>5204.3999999999996</v>
      </c>
    </row>
    <row r="94" spans="1:40" s="18" customFormat="1" ht="20.399999999999999" x14ac:dyDescent="0.25">
      <c r="A94" s="46">
        <v>22210</v>
      </c>
      <c r="B94" s="45" t="s">
        <v>210</v>
      </c>
      <c r="C94" s="43">
        <v>31888.7</v>
      </c>
      <c r="D94" s="43">
        <f t="shared" si="19"/>
        <v>2657.3916666666669</v>
      </c>
      <c r="E94" s="43">
        <v>3312.2</v>
      </c>
      <c r="F94" s="43">
        <v>1542</v>
      </c>
      <c r="G94" s="43">
        <f t="shared" si="20"/>
        <v>7430.0671000000011</v>
      </c>
      <c r="H94" s="44">
        <f t="shared" si="31"/>
        <v>2.6750333530512021E-2</v>
      </c>
      <c r="I94" s="43">
        <f>7990664.7*H94/100</f>
        <v>2137.5294585548882</v>
      </c>
      <c r="J94" s="43"/>
      <c r="K94" s="43"/>
      <c r="L94" s="43">
        <f t="shared" si="30"/>
        <v>2137.5294585548882</v>
      </c>
      <c r="M94" s="43">
        <v>2137.5</v>
      </c>
      <c r="N94" s="43">
        <f t="shared" si="21"/>
        <v>-2.9458554888151411E-2</v>
      </c>
      <c r="O94" s="43">
        <f t="shared" si="22"/>
        <v>99.998621840987028</v>
      </c>
      <c r="P94" s="43">
        <v>8222.6</v>
      </c>
      <c r="Q94" s="44">
        <f t="shared" si="23"/>
        <v>3.3548445922894611E-2</v>
      </c>
      <c r="R94" s="43">
        <f t="shared" si="24"/>
        <v>2080.6400612386233</v>
      </c>
      <c r="S94" s="43"/>
      <c r="T94" s="43"/>
      <c r="U94" s="43"/>
      <c r="V94" s="43"/>
      <c r="W94" s="43"/>
      <c r="X94" s="43">
        <f t="shared" si="25"/>
        <v>2080.6400612386233</v>
      </c>
      <c r="Y94" s="43">
        <v>2711</v>
      </c>
      <c r="Z94" s="43">
        <f t="shared" si="32"/>
        <v>2711</v>
      </c>
      <c r="AA94" s="43"/>
      <c r="AB94" s="43"/>
      <c r="AC94" s="43"/>
      <c r="AD94" s="43">
        <f t="shared" si="26"/>
        <v>2711</v>
      </c>
      <c r="AE94" s="43">
        <f>4482.1-1000</f>
        <v>3482.1000000000004</v>
      </c>
      <c r="AF94" s="43"/>
      <c r="AG94" s="43"/>
      <c r="AH94" s="42">
        <f t="shared" si="27"/>
        <v>3482.1000000000004</v>
      </c>
      <c r="AI94" s="41">
        <v>2716.5</v>
      </c>
      <c r="AJ94" s="40">
        <v>3003.1</v>
      </c>
      <c r="AK94" s="49">
        <f>4742.4-1500-1000</f>
        <v>2242.3999999999996</v>
      </c>
      <c r="AL94" s="39">
        <f t="shared" si="28"/>
        <v>2242.3999999999996</v>
      </c>
      <c r="AM94" s="49"/>
      <c r="AN94" s="49">
        <f t="shared" si="29"/>
        <v>2242.3999999999996</v>
      </c>
    </row>
    <row r="95" spans="1:40" s="18" customFormat="1" ht="13.2" x14ac:dyDescent="0.25">
      <c r="A95" s="46">
        <v>23110</v>
      </c>
      <c r="B95" s="45" t="s">
        <v>209</v>
      </c>
      <c r="C95" s="43">
        <v>40539.699999999997</v>
      </c>
      <c r="D95" s="43">
        <f t="shared" si="19"/>
        <v>3378.3083333333329</v>
      </c>
      <c r="E95" s="43">
        <v>3242.7</v>
      </c>
      <c r="F95" s="43">
        <v>3051</v>
      </c>
      <c r="G95" s="43">
        <f t="shared" si="20"/>
        <v>9445.7500999999993</v>
      </c>
      <c r="H95" s="44">
        <f t="shared" si="31"/>
        <v>3.4683073243991495E-2</v>
      </c>
      <c r="I95" s="43">
        <v>3099.8</v>
      </c>
      <c r="J95" s="43"/>
      <c r="K95" s="43"/>
      <c r="L95" s="43">
        <f t="shared" si="30"/>
        <v>3099.8</v>
      </c>
      <c r="M95" s="43">
        <v>3099.8</v>
      </c>
      <c r="N95" s="43">
        <f t="shared" si="21"/>
        <v>0</v>
      </c>
      <c r="O95" s="43">
        <f t="shared" si="22"/>
        <v>100</v>
      </c>
      <c r="P95" s="43">
        <v>10589.599999999999</v>
      </c>
      <c r="Q95" s="44">
        <f t="shared" si="23"/>
        <v>4.3205874412604858E-2</v>
      </c>
      <c r="R95" s="43">
        <f t="shared" si="24"/>
        <v>2679.5838290191082</v>
      </c>
      <c r="S95" s="43"/>
      <c r="T95" s="43"/>
      <c r="U95" s="43"/>
      <c r="V95" s="43"/>
      <c r="W95" s="43"/>
      <c r="X95" s="43">
        <f t="shared" si="25"/>
        <v>2679.5838290191082</v>
      </c>
      <c r="Y95" s="43">
        <v>3530</v>
      </c>
      <c r="Z95" s="43">
        <f t="shared" si="32"/>
        <v>3530</v>
      </c>
      <c r="AA95" s="43"/>
      <c r="AB95" s="43"/>
      <c r="AC95" s="43"/>
      <c r="AD95" s="43">
        <f t="shared" si="26"/>
        <v>3530</v>
      </c>
      <c r="AE95" s="43">
        <v>4380</v>
      </c>
      <c r="AF95" s="43"/>
      <c r="AG95" s="43"/>
      <c r="AH95" s="42">
        <f t="shared" si="27"/>
        <v>4380</v>
      </c>
      <c r="AI95" s="41">
        <v>2370</v>
      </c>
      <c r="AJ95" s="40">
        <v>3348.8</v>
      </c>
      <c r="AK95" s="49">
        <f>4327.6-1000</f>
        <v>3327.6000000000004</v>
      </c>
      <c r="AL95" s="39">
        <f t="shared" si="28"/>
        <v>3327.6000000000004</v>
      </c>
      <c r="AM95" s="49"/>
      <c r="AN95" s="49">
        <f t="shared" si="29"/>
        <v>3327.6000000000004</v>
      </c>
    </row>
    <row r="96" spans="1:40" s="18" customFormat="1" ht="20.399999999999999" x14ac:dyDescent="0.25">
      <c r="A96" s="46">
        <v>23120</v>
      </c>
      <c r="B96" s="45" t="s">
        <v>208</v>
      </c>
      <c r="C96" s="43">
        <v>1578.1</v>
      </c>
      <c r="D96" s="43">
        <f t="shared" si="19"/>
        <v>131.50833333333333</v>
      </c>
      <c r="E96" s="43">
        <v>131.5</v>
      </c>
      <c r="F96" s="43">
        <v>131.5</v>
      </c>
      <c r="G96" s="43">
        <f t="shared" si="20"/>
        <v>367.69729999999998</v>
      </c>
      <c r="H96" s="44">
        <f t="shared" si="31"/>
        <v>1.4493300067003135E-3</v>
      </c>
      <c r="I96" s="43">
        <v>111</v>
      </c>
      <c r="J96" s="43"/>
      <c r="K96" s="43"/>
      <c r="L96" s="43">
        <f t="shared" si="30"/>
        <v>111</v>
      </c>
      <c r="M96" s="43">
        <v>111</v>
      </c>
      <c r="N96" s="43">
        <f t="shared" si="21"/>
        <v>0</v>
      </c>
      <c r="O96" s="43">
        <f t="shared" si="22"/>
        <v>100</v>
      </c>
      <c r="P96" s="43">
        <v>408.29999999999995</v>
      </c>
      <c r="Q96" s="44">
        <f t="shared" si="23"/>
        <v>1.6658758142580046E-3</v>
      </c>
      <c r="R96" s="43">
        <f t="shared" si="24"/>
        <v>103.31590214819276</v>
      </c>
      <c r="S96" s="43"/>
      <c r="T96" s="43"/>
      <c r="U96" s="43"/>
      <c r="V96" s="43"/>
      <c r="W96" s="43"/>
      <c r="X96" s="43">
        <f t="shared" si="25"/>
        <v>103.31590214819276</v>
      </c>
      <c r="Y96" s="43">
        <v>136</v>
      </c>
      <c r="Z96" s="43">
        <f t="shared" si="32"/>
        <v>136</v>
      </c>
      <c r="AA96" s="43"/>
      <c r="AB96" s="43"/>
      <c r="AC96" s="43"/>
      <c r="AD96" s="43">
        <f t="shared" si="26"/>
        <v>136</v>
      </c>
      <c r="AE96" s="43">
        <v>169</v>
      </c>
      <c r="AF96" s="43"/>
      <c r="AG96" s="43"/>
      <c r="AH96" s="42">
        <f t="shared" si="27"/>
        <v>169</v>
      </c>
      <c r="AI96" s="41">
        <v>136</v>
      </c>
      <c r="AJ96" s="40">
        <v>129.19999999999999</v>
      </c>
      <c r="AK96" s="49">
        <v>122.4</v>
      </c>
      <c r="AL96" s="39">
        <f t="shared" si="28"/>
        <v>122.4</v>
      </c>
      <c r="AM96" s="49"/>
      <c r="AN96" s="49">
        <f t="shared" si="29"/>
        <v>122.4</v>
      </c>
    </row>
    <row r="97" spans="1:40" s="18" customFormat="1" ht="20.399999999999999" x14ac:dyDescent="0.25">
      <c r="A97" s="46">
        <v>23130</v>
      </c>
      <c r="B97" s="45" t="s">
        <v>207</v>
      </c>
      <c r="C97" s="43">
        <v>49494.1</v>
      </c>
      <c r="D97" s="43">
        <f t="shared" si="19"/>
        <v>4124.5083333333332</v>
      </c>
      <c r="E97" s="43">
        <v>4124.5</v>
      </c>
      <c r="F97" s="43">
        <v>4124.5</v>
      </c>
      <c r="G97" s="43">
        <f t="shared" si="20"/>
        <v>11532.1253</v>
      </c>
      <c r="H97" s="44">
        <f t="shared" si="31"/>
        <v>4.5458263213957739E-2</v>
      </c>
      <c r="I97" s="43">
        <v>2392.1999999999998</v>
      </c>
      <c r="J97" s="43"/>
      <c r="K97" s="43"/>
      <c r="L97" s="43">
        <f t="shared" si="30"/>
        <v>2392.1999999999998</v>
      </c>
      <c r="M97" s="43">
        <v>2392.1999999999998</v>
      </c>
      <c r="N97" s="43">
        <f t="shared" si="21"/>
        <v>0</v>
      </c>
      <c r="O97" s="43">
        <f t="shared" si="22"/>
        <v>100</v>
      </c>
      <c r="P97" s="43">
        <v>11284.7</v>
      </c>
      <c r="Q97" s="44">
        <f t="shared" si="23"/>
        <v>4.6041902525489363E-2</v>
      </c>
      <c r="R97" s="43">
        <f t="shared" si="24"/>
        <v>2855.4713714712493</v>
      </c>
      <c r="S97" s="43"/>
      <c r="T97" s="43">
        <f>P97/3-R97</f>
        <v>906.09529519541775</v>
      </c>
      <c r="U97" s="43">
        <f>2488.9-T97</f>
        <v>1582.8047048045823</v>
      </c>
      <c r="V97" s="43"/>
      <c r="W97" s="43"/>
      <c r="X97" s="43">
        <f t="shared" ref="X97:X128" si="33">SUM(R97:V97)</f>
        <v>5344.3713714712494</v>
      </c>
      <c r="Y97" s="43"/>
      <c r="Z97" s="43">
        <f>D97</f>
        <v>4124.5083333333332</v>
      </c>
      <c r="AA97" s="43"/>
      <c r="AB97" s="43"/>
      <c r="AC97" s="43"/>
      <c r="AD97" s="43">
        <f t="shared" ref="AD97:AD128" si="34">SUM(Z97:AC97)</f>
        <v>4124.5083333333332</v>
      </c>
      <c r="AE97" s="43">
        <v>1815.8</v>
      </c>
      <c r="AF97" s="43"/>
      <c r="AG97" s="43">
        <v>1950.6</v>
      </c>
      <c r="AH97" s="42">
        <f t="shared" si="27"/>
        <v>3766.3999999999996</v>
      </c>
      <c r="AI97" s="41">
        <v>3766.4</v>
      </c>
      <c r="AJ97" s="40">
        <v>4454.5</v>
      </c>
      <c r="AK97" s="49">
        <f>5142.5-1000</f>
        <v>4142.5</v>
      </c>
      <c r="AL97" s="39">
        <f t="shared" si="28"/>
        <v>4142.5</v>
      </c>
      <c r="AM97" s="49"/>
      <c r="AN97" s="49">
        <f t="shared" si="29"/>
        <v>4142.5</v>
      </c>
    </row>
    <row r="98" spans="1:40" s="18" customFormat="1" ht="20.399999999999999" x14ac:dyDescent="0.25">
      <c r="A98" s="46">
        <v>23140</v>
      </c>
      <c r="B98" s="45" t="s">
        <v>206</v>
      </c>
      <c r="C98" s="43">
        <v>974815</v>
      </c>
      <c r="D98" s="43">
        <f t="shared" si="19"/>
        <v>81234.583333333328</v>
      </c>
      <c r="E98" s="43">
        <v>81147.100000000006</v>
      </c>
      <c r="F98" s="43">
        <v>79567.5</v>
      </c>
      <c r="G98" s="43">
        <f t="shared" si="20"/>
        <v>227131.89499999999</v>
      </c>
      <c r="H98" s="44">
        <f t="shared" si="31"/>
        <v>0.88565966652029737</v>
      </c>
      <c r="I98" s="43">
        <v>66535.399999999994</v>
      </c>
      <c r="J98" s="43"/>
      <c r="K98" s="43"/>
      <c r="L98" s="43">
        <f t="shared" si="30"/>
        <v>66535.399999999994</v>
      </c>
      <c r="M98" s="43">
        <v>66535.399999999994</v>
      </c>
      <c r="N98" s="43">
        <f t="shared" si="21"/>
        <v>0</v>
      </c>
      <c r="O98" s="43">
        <f t="shared" si="22"/>
        <v>100</v>
      </c>
      <c r="P98" s="43">
        <v>242357.59999999998</v>
      </c>
      <c r="Q98" s="44">
        <f t="shared" si="23"/>
        <v>0.98882602067503245</v>
      </c>
      <c r="R98" s="43">
        <f t="shared" si="24"/>
        <v>61325.971311464215</v>
      </c>
      <c r="S98" s="43">
        <v>1000</v>
      </c>
      <c r="T98" s="43"/>
      <c r="U98" s="43"/>
      <c r="V98" s="43"/>
      <c r="W98" s="43"/>
      <c r="X98" s="43">
        <f t="shared" si="33"/>
        <v>62325.971311464215</v>
      </c>
      <c r="Y98" s="43">
        <v>62197</v>
      </c>
      <c r="Z98" s="43">
        <f>Y98</f>
        <v>62197</v>
      </c>
      <c r="AA98" s="43"/>
      <c r="AB98" s="43"/>
      <c r="AC98" s="43"/>
      <c r="AD98" s="43">
        <f t="shared" si="34"/>
        <v>62197</v>
      </c>
      <c r="AE98" s="43">
        <f>116522.7-15000-20000</f>
        <v>81522.7</v>
      </c>
      <c r="AF98" s="43"/>
      <c r="AG98" s="43"/>
      <c r="AH98" s="42">
        <f t="shared" si="27"/>
        <v>81522.7</v>
      </c>
      <c r="AI98" s="41">
        <v>84747.4</v>
      </c>
      <c r="AJ98" s="40">
        <v>90374</v>
      </c>
      <c r="AK98" s="49">
        <f>89907.4375-8000</f>
        <v>81907.4375</v>
      </c>
      <c r="AL98" s="39">
        <f t="shared" si="28"/>
        <v>81907.4375</v>
      </c>
      <c r="AM98" s="49"/>
      <c r="AN98" s="49">
        <f t="shared" si="29"/>
        <v>81907.4375</v>
      </c>
    </row>
    <row r="99" spans="1:40" s="18" customFormat="1" ht="20.399999999999999" x14ac:dyDescent="0.25">
      <c r="A99" s="46">
        <v>23150</v>
      </c>
      <c r="B99" s="45" t="s">
        <v>205</v>
      </c>
      <c r="C99" s="43">
        <v>3031.9</v>
      </c>
      <c r="D99" s="43">
        <f t="shared" si="19"/>
        <v>252.65833333333333</v>
      </c>
      <c r="E99" s="43">
        <v>242.2</v>
      </c>
      <c r="F99" s="43">
        <v>193.7</v>
      </c>
      <c r="G99" s="43">
        <f t="shared" si="20"/>
        <v>706.43270000000007</v>
      </c>
      <c r="H99" s="44">
        <f t="shared" si="31"/>
        <v>2.4021404939949301E-3</v>
      </c>
      <c r="I99" s="43">
        <v>328</v>
      </c>
      <c r="J99" s="43"/>
      <c r="K99" s="43"/>
      <c r="L99" s="43">
        <f t="shared" si="30"/>
        <v>328</v>
      </c>
      <c r="M99" s="43">
        <v>328</v>
      </c>
      <c r="N99" s="43">
        <f t="shared" si="21"/>
        <v>0</v>
      </c>
      <c r="O99" s="43">
        <f t="shared" si="22"/>
        <v>100</v>
      </c>
      <c r="P99" s="43">
        <v>1085.5</v>
      </c>
      <c r="Q99" s="44">
        <f t="shared" si="23"/>
        <v>4.4288714092017237E-3</v>
      </c>
      <c r="R99" s="43">
        <f t="shared" si="24"/>
        <v>274.6740430611394</v>
      </c>
      <c r="S99" s="43"/>
      <c r="T99" s="43"/>
      <c r="U99" s="43"/>
      <c r="V99" s="43"/>
      <c r="W99" s="43"/>
      <c r="X99" s="43">
        <f t="shared" si="33"/>
        <v>274.6740430611394</v>
      </c>
      <c r="Y99" s="43">
        <v>339</v>
      </c>
      <c r="Z99" s="43">
        <f>Y99</f>
        <v>339</v>
      </c>
      <c r="AA99" s="43"/>
      <c r="AB99" s="43"/>
      <c r="AC99" s="43"/>
      <c r="AD99" s="43">
        <f t="shared" si="34"/>
        <v>339</v>
      </c>
      <c r="AE99" s="43">
        <v>469.7</v>
      </c>
      <c r="AF99" s="43"/>
      <c r="AG99" s="43"/>
      <c r="AH99" s="42">
        <f t="shared" si="27"/>
        <v>469.7</v>
      </c>
      <c r="AI99" s="41">
        <v>249</v>
      </c>
      <c r="AJ99" s="40">
        <v>183.6</v>
      </c>
      <c r="AK99" s="49">
        <v>245.2</v>
      </c>
      <c r="AL99" s="39">
        <f t="shared" si="28"/>
        <v>245.2</v>
      </c>
      <c r="AM99" s="49"/>
      <c r="AN99" s="49">
        <f t="shared" si="29"/>
        <v>245.2</v>
      </c>
    </row>
    <row r="100" spans="1:40" s="18" customFormat="1" ht="13.2" x14ac:dyDescent="0.25">
      <c r="A100" s="46">
        <v>24140</v>
      </c>
      <c r="B100" s="45" t="s">
        <v>204</v>
      </c>
      <c r="C100" s="43"/>
      <c r="D100" s="43"/>
      <c r="E100" s="43"/>
      <c r="F100" s="43"/>
      <c r="G100" s="43"/>
      <c r="H100" s="44"/>
      <c r="I100" s="43"/>
      <c r="J100" s="43"/>
      <c r="K100" s="43"/>
      <c r="L100" s="43"/>
      <c r="M100" s="43"/>
      <c r="N100" s="43"/>
      <c r="O100" s="43"/>
      <c r="P100" s="43"/>
      <c r="Q100" s="44"/>
      <c r="R100" s="43"/>
      <c r="S100" s="43"/>
      <c r="T100" s="43"/>
      <c r="U100" s="43">
        <v>235800</v>
      </c>
      <c r="V100" s="43"/>
      <c r="W100" s="43"/>
      <c r="X100" s="43">
        <f t="shared" si="33"/>
        <v>235800</v>
      </c>
      <c r="Y100" s="43"/>
      <c r="Z100" s="43">
        <f>Y100</f>
        <v>0</v>
      </c>
      <c r="AA100" s="43"/>
      <c r="AB100" s="43"/>
      <c r="AC100" s="43"/>
      <c r="AD100" s="43">
        <f t="shared" si="34"/>
        <v>0</v>
      </c>
      <c r="AE100" s="43"/>
      <c r="AF100" s="43"/>
      <c r="AG100" s="43"/>
      <c r="AH100" s="42">
        <f t="shared" si="27"/>
        <v>0</v>
      </c>
      <c r="AI100" s="41"/>
      <c r="AJ100" s="57">
        <v>0</v>
      </c>
      <c r="AK100" s="49"/>
      <c r="AL100" s="39">
        <f t="shared" si="28"/>
        <v>0</v>
      </c>
      <c r="AM100" s="49"/>
      <c r="AN100" s="49">
        <f t="shared" si="29"/>
        <v>0</v>
      </c>
    </row>
    <row r="101" spans="1:40" s="18" customFormat="1" ht="13.2" x14ac:dyDescent="0.25">
      <c r="A101" s="46">
        <v>24150</v>
      </c>
      <c r="B101" s="45" t="s">
        <v>203</v>
      </c>
      <c r="C101" s="43"/>
      <c r="D101" s="43"/>
      <c r="E101" s="43"/>
      <c r="F101" s="43"/>
      <c r="G101" s="43"/>
      <c r="H101" s="44"/>
      <c r="I101" s="43"/>
      <c r="J101" s="43"/>
      <c r="K101" s="43"/>
      <c r="L101" s="43"/>
      <c r="M101" s="43"/>
      <c r="N101" s="43"/>
      <c r="O101" s="43"/>
      <c r="P101" s="43"/>
      <c r="Q101" s="44"/>
      <c r="R101" s="43"/>
      <c r="S101" s="43"/>
      <c r="T101" s="43"/>
      <c r="U101" s="43"/>
      <c r="V101" s="43"/>
      <c r="W101" s="43"/>
      <c r="X101" s="43">
        <f t="shared" si="33"/>
        <v>0</v>
      </c>
      <c r="Y101" s="43"/>
      <c r="Z101" s="43">
        <v>170302.2</v>
      </c>
      <c r="AA101" s="43"/>
      <c r="AB101" s="43"/>
      <c r="AC101" s="43"/>
      <c r="AD101" s="43">
        <f t="shared" si="34"/>
        <v>170302.2</v>
      </c>
      <c r="AE101" s="43"/>
      <c r="AF101" s="43"/>
      <c r="AG101" s="43"/>
      <c r="AH101" s="42">
        <f t="shared" si="27"/>
        <v>0</v>
      </c>
      <c r="AI101" s="41"/>
      <c r="AJ101" s="57">
        <v>0</v>
      </c>
      <c r="AK101" s="49"/>
      <c r="AL101" s="39">
        <f t="shared" si="28"/>
        <v>0</v>
      </c>
      <c r="AM101" s="49"/>
      <c r="AN101" s="49">
        <f t="shared" si="29"/>
        <v>0</v>
      </c>
    </row>
    <row r="102" spans="1:40" s="18" customFormat="1" ht="20.399999999999999" x14ac:dyDescent="0.25">
      <c r="A102" s="46">
        <v>24220</v>
      </c>
      <c r="B102" s="45" t="s">
        <v>202</v>
      </c>
      <c r="C102" s="43">
        <v>30000</v>
      </c>
      <c r="D102" s="43">
        <f t="shared" ref="D102:D113" si="35">C102/12</f>
        <v>2500</v>
      </c>
      <c r="E102" s="43"/>
      <c r="F102" s="43">
        <v>5000</v>
      </c>
      <c r="G102" s="43">
        <f t="shared" ref="G102:G113" si="36">C102*23.3/100</f>
        <v>6990</v>
      </c>
      <c r="H102" s="44">
        <f t="shared" ref="H102:H108" si="37">(E102+F102)/(8725103.2+9421212.6)*100</f>
        <v>2.7553802408751209E-2</v>
      </c>
      <c r="I102" s="43">
        <v>2500</v>
      </c>
      <c r="J102" s="43"/>
      <c r="K102" s="43"/>
      <c r="L102" s="43">
        <f t="shared" ref="L102:L113" si="38">SUM(I102:K102)</f>
        <v>2500</v>
      </c>
      <c r="M102" s="43">
        <v>2500</v>
      </c>
      <c r="N102" s="43">
        <f t="shared" ref="N102:N114" si="39">M102-L102</f>
        <v>0</v>
      </c>
      <c r="O102" s="43">
        <f t="shared" ref="O102:O120" si="40">M102/L102*100</f>
        <v>100</v>
      </c>
      <c r="P102" s="43">
        <v>7500</v>
      </c>
      <c r="Q102" s="44">
        <f t="shared" ref="Q102:Q113" si="41">P102/24509630.1*100</f>
        <v>3.0600217014291043E-2</v>
      </c>
      <c r="R102" s="43">
        <f t="shared" ref="R102:R108" si="42">6201897*Q102/100</f>
        <v>1897.7939410028057</v>
      </c>
      <c r="S102" s="43">
        <v>602.20000000000005</v>
      </c>
      <c r="T102" s="43"/>
      <c r="U102" s="43"/>
      <c r="V102" s="43"/>
      <c r="W102" s="43"/>
      <c r="X102" s="43">
        <f t="shared" si="33"/>
        <v>2499.9939410028055</v>
      </c>
      <c r="Y102" s="43"/>
      <c r="Z102" s="43">
        <f>D102</f>
        <v>2500</v>
      </c>
      <c r="AA102" s="43"/>
      <c r="AB102" s="43"/>
      <c r="AC102" s="43"/>
      <c r="AD102" s="43">
        <f t="shared" si="34"/>
        <v>2500</v>
      </c>
      <c r="AE102" s="43">
        <v>2500</v>
      </c>
      <c r="AF102" s="43"/>
      <c r="AG102" s="43"/>
      <c r="AH102" s="42">
        <f t="shared" si="27"/>
        <v>2500</v>
      </c>
      <c r="AI102" s="41">
        <f>2000+500</f>
        <v>2500</v>
      </c>
      <c r="AJ102" s="40">
        <v>2500</v>
      </c>
      <c r="AK102" s="49">
        <f>2500-1000</f>
        <v>1500</v>
      </c>
      <c r="AL102" s="39">
        <f t="shared" si="28"/>
        <v>1500</v>
      </c>
      <c r="AM102" s="49"/>
      <c r="AN102" s="49">
        <f t="shared" si="29"/>
        <v>1500</v>
      </c>
    </row>
    <row r="103" spans="1:40" s="18" customFormat="1" ht="13.2" x14ac:dyDescent="0.25">
      <c r="A103" s="46">
        <v>24320</v>
      </c>
      <c r="B103" s="45" t="s">
        <v>201</v>
      </c>
      <c r="C103" s="43">
        <v>30000</v>
      </c>
      <c r="D103" s="43">
        <f t="shared" si="35"/>
        <v>2500</v>
      </c>
      <c r="E103" s="43"/>
      <c r="F103" s="43">
        <v>5000</v>
      </c>
      <c r="G103" s="43">
        <f t="shared" si="36"/>
        <v>6990</v>
      </c>
      <c r="H103" s="44">
        <f t="shared" si="37"/>
        <v>2.7553802408751209E-2</v>
      </c>
      <c r="I103" s="43">
        <v>2500</v>
      </c>
      <c r="J103" s="43"/>
      <c r="K103" s="43"/>
      <c r="L103" s="43">
        <f t="shared" si="38"/>
        <v>2500</v>
      </c>
      <c r="M103" s="43">
        <v>2500</v>
      </c>
      <c r="N103" s="43">
        <f t="shared" si="39"/>
        <v>0</v>
      </c>
      <c r="O103" s="43">
        <f t="shared" si="40"/>
        <v>100</v>
      </c>
      <c r="P103" s="43">
        <v>7500</v>
      </c>
      <c r="Q103" s="44">
        <f t="shared" si="41"/>
        <v>3.0600217014291043E-2</v>
      </c>
      <c r="R103" s="43">
        <f t="shared" si="42"/>
        <v>1897.7939410028057</v>
      </c>
      <c r="S103" s="43">
        <v>602.20000000000005</v>
      </c>
      <c r="T103" s="43"/>
      <c r="U103" s="43"/>
      <c r="V103" s="43"/>
      <c r="W103" s="43"/>
      <c r="X103" s="43">
        <f t="shared" si="33"/>
        <v>2499.9939410028055</v>
      </c>
      <c r="Y103" s="43"/>
      <c r="Z103" s="43">
        <f>D103</f>
        <v>2500</v>
      </c>
      <c r="AA103" s="43"/>
      <c r="AB103" s="43"/>
      <c r="AC103" s="43"/>
      <c r="AD103" s="43">
        <f t="shared" si="34"/>
        <v>2500</v>
      </c>
      <c r="AE103" s="43">
        <v>2500</v>
      </c>
      <c r="AF103" s="43"/>
      <c r="AG103" s="43"/>
      <c r="AH103" s="42">
        <f t="shared" si="27"/>
        <v>2500</v>
      </c>
      <c r="AI103" s="41">
        <f>1500+1000</f>
        <v>2500</v>
      </c>
      <c r="AJ103" s="40">
        <v>2500</v>
      </c>
      <c r="AK103" s="49">
        <f>2500-1000</f>
        <v>1500</v>
      </c>
      <c r="AL103" s="39">
        <f t="shared" si="28"/>
        <v>1500</v>
      </c>
      <c r="AM103" s="49"/>
      <c r="AN103" s="49">
        <f t="shared" si="29"/>
        <v>1500</v>
      </c>
    </row>
    <row r="104" spans="1:40" s="18" customFormat="1" ht="13.2" x14ac:dyDescent="0.25">
      <c r="A104" s="46">
        <v>25110</v>
      </c>
      <c r="B104" s="45" t="s">
        <v>200</v>
      </c>
      <c r="C104" s="43">
        <v>129727.8</v>
      </c>
      <c r="D104" s="43">
        <f t="shared" si="35"/>
        <v>10810.65</v>
      </c>
      <c r="E104" s="43">
        <v>12043.9</v>
      </c>
      <c r="F104" s="43">
        <v>8535</v>
      </c>
      <c r="G104" s="43">
        <f t="shared" si="36"/>
        <v>30226.577400000002</v>
      </c>
      <c r="H104" s="44">
        <f t="shared" si="37"/>
        <v>0.11340538887789003</v>
      </c>
      <c r="I104" s="43">
        <v>14309.7</v>
      </c>
      <c r="J104" s="43"/>
      <c r="K104" s="43"/>
      <c r="L104" s="43">
        <f t="shared" si="38"/>
        <v>14309.7</v>
      </c>
      <c r="M104" s="43">
        <v>14309.7</v>
      </c>
      <c r="N104" s="43">
        <f t="shared" si="39"/>
        <v>0</v>
      </c>
      <c r="O104" s="43">
        <f t="shared" si="40"/>
        <v>100</v>
      </c>
      <c r="P104" s="43">
        <v>36165.200000000004</v>
      </c>
      <c r="Q104" s="44">
        <f t="shared" si="41"/>
        <v>0.14755506244869848</v>
      </c>
      <c r="R104" s="43">
        <f t="shared" si="42"/>
        <v>9151.2129913539575</v>
      </c>
      <c r="S104" s="43"/>
      <c r="T104" s="43"/>
      <c r="U104" s="43"/>
      <c r="V104" s="43"/>
      <c r="W104" s="43"/>
      <c r="X104" s="43">
        <f t="shared" si="33"/>
        <v>9151.2129913539575</v>
      </c>
      <c r="Y104" s="43">
        <v>11420</v>
      </c>
      <c r="Z104" s="43">
        <f t="shared" ref="Z104:Z109" si="43">Y104</f>
        <v>11420</v>
      </c>
      <c r="AA104" s="43">
        <v>11000</v>
      </c>
      <c r="AB104" s="43"/>
      <c r="AC104" s="43"/>
      <c r="AD104" s="43">
        <f t="shared" si="34"/>
        <v>22420</v>
      </c>
      <c r="AE104" s="43">
        <v>15407.7</v>
      </c>
      <c r="AF104" s="43"/>
      <c r="AG104" s="43"/>
      <c r="AH104" s="42">
        <f t="shared" si="27"/>
        <v>15407.7</v>
      </c>
      <c r="AI104" s="41">
        <f>15408+1180.8-1180.8</f>
        <v>15408</v>
      </c>
      <c r="AJ104" s="40">
        <v>14092.4</v>
      </c>
      <c r="AK104" s="49">
        <f>19917.3-7000</f>
        <v>12917.3</v>
      </c>
      <c r="AL104" s="39">
        <f t="shared" si="28"/>
        <v>12917.3</v>
      </c>
      <c r="AM104" s="49"/>
      <c r="AN104" s="49">
        <f t="shared" si="29"/>
        <v>12917.3</v>
      </c>
    </row>
    <row r="105" spans="1:40" s="18" customFormat="1" ht="13.2" x14ac:dyDescent="0.25">
      <c r="A105" s="46">
        <v>25120</v>
      </c>
      <c r="B105" s="45" t="s">
        <v>199</v>
      </c>
      <c r="C105" s="43">
        <v>242185.3</v>
      </c>
      <c r="D105" s="43">
        <f t="shared" si="35"/>
        <v>20182.108333333334</v>
      </c>
      <c r="E105" s="43">
        <v>21163.4</v>
      </c>
      <c r="F105" s="43">
        <v>16645.3</v>
      </c>
      <c r="G105" s="43">
        <f t="shared" si="36"/>
        <v>56429.174900000005</v>
      </c>
      <c r="H105" s="44">
        <f t="shared" si="37"/>
        <v>0.20835468982635033</v>
      </c>
      <c r="I105" s="43">
        <v>22973.200000000001</v>
      </c>
      <c r="J105" s="43">
        <v>6955.7</v>
      </c>
      <c r="K105" s="43"/>
      <c r="L105" s="43">
        <f t="shared" si="38"/>
        <v>29928.9</v>
      </c>
      <c r="M105" s="43">
        <v>29928.9</v>
      </c>
      <c r="N105" s="43">
        <f t="shared" si="39"/>
        <v>0</v>
      </c>
      <c r="O105" s="43">
        <f t="shared" si="40"/>
        <v>100</v>
      </c>
      <c r="P105" s="43">
        <v>63843.600000000006</v>
      </c>
      <c r="Q105" s="44">
        <f t="shared" si="41"/>
        <v>0.26048373532981228</v>
      </c>
      <c r="R105" s="43">
        <f t="shared" si="42"/>
        <v>16154.932966907569</v>
      </c>
      <c r="S105" s="43">
        <v>1317.2</v>
      </c>
      <c r="T105" s="43"/>
      <c r="U105" s="43"/>
      <c r="V105" s="43"/>
      <c r="W105" s="43"/>
      <c r="X105" s="43">
        <f t="shared" si="33"/>
        <v>17472.132966907568</v>
      </c>
      <c r="Y105" s="43">
        <v>20670</v>
      </c>
      <c r="Z105" s="43">
        <f t="shared" si="43"/>
        <v>20670</v>
      </c>
      <c r="AA105" s="43"/>
      <c r="AB105" s="43"/>
      <c r="AC105" s="43"/>
      <c r="AD105" s="43">
        <f t="shared" si="34"/>
        <v>20670</v>
      </c>
      <c r="AE105" s="43">
        <v>28521.3</v>
      </c>
      <c r="AF105" s="43"/>
      <c r="AG105" s="43"/>
      <c r="AH105" s="42">
        <f t="shared" si="27"/>
        <v>28521.3</v>
      </c>
      <c r="AI105" s="41">
        <f>18657.8+1180.8</f>
        <v>19838.599999999999</v>
      </c>
      <c r="AJ105" s="40">
        <v>20888.7</v>
      </c>
      <c r="AK105" s="49">
        <v>26177.3</v>
      </c>
      <c r="AL105" s="39">
        <f t="shared" si="28"/>
        <v>26177.3</v>
      </c>
      <c r="AM105" s="49"/>
      <c r="AN105" s="49">
        <f t="shared" si="29"/>
        <v>26177.3</v>
      </c>
    </row>
    <row r="106" spans="1:40" s="18" customFormat="1" ht="13.2" x14ac:dyDescent="0.25">
      <c r="A106" s="46">
        <v>25220</v>
      </c>
      <c r="B106" s="45" t="s">
        <v>198</v>
      </c>
      <c r="C106" s="43">
        <v>2632</v>
      </c>
      <c r="D106" s="43">
        <f t="shared" si="35"/>
        <v>219.33333333333334</v>
      </c>
      <c r="E106" s="43">
        <v>180</v>
      </c>
      <c r="F106" s="43">
        <v>161.6</v>
      </c>
      <c r="G106" s="43">
        <f t="shared" si="36"/>
        <v>613.25599999999997</v>
      </c>
      <c r="H106" s="44">
        <f t="shared" si="37"/>
        <v>1.8824757805658825E-3</v>
      </c>
      <c r="I106" s="43">
        <v>377.8</v>
      </c>
      <c r="J106" s="43"/>
      <c r="K106" s="43"/>
      <c r="L106" s="43">
        <f t="shared" si="38"/>
        <v>377.8</v>
      </c>
      <c r="M106" s="43">
        <v>332</v>
      </c>
      <c r="N106" s="43">
        <f t="shared" si="39"/>
        <v>-45.800000000000011</v>
      </c>
      <c r="O106" s="43">
        <f t="shared" si="40"/>
        <v>87.877183695076752</v>
      </c>
      <c r="P106" s="43">
        <v>861.1</v>
      </c>
      <c r="Q106" s="44">
        <f t="shared" si="41"/>
        <v>3.5133129161341362E-3</v>
      </c>
      <c r="R106" s="43">
        <f t="shared" si="42"/>
        <v>217.89204834633551</v>
      </c>
      <c r="S106" s="43"/>
      <c r="T106" s="43"/>
      <c r="U106" s="43"/>
      <c r="V106" s="43"/>
      <c r="W106" s="43"/>
      <c r="X106" s="43">
        <f t="shared" si="33"/>
        <v>217.89204834633551</v>
      </c>
      <c r="Y106" s="43">
        <v>231</v>
      </c>
      <c r="Z106" s="43">
        <f t="shared" si="43"/>
        <v>231</v>
      </c>
      <c r="AA106" s="43"/>
      <c r="AB106" s="43"/>
      <c r="AC106" s="43"/>
      <c r="AD106" s="43">
        <f t="shared" si="34"/>
        <v>231</v>
      </c>
      <c r="AE106" s="43">
        <v>409.7</v>
      </c>
      <c r="AF106" s="43"/>
      <c r="AG106" s="43"/>
      <c r="AH106" s="42">
        <f t="shared" si="27"/>
        <v>409.7</v>
      </c>
      <c r="AI106" s="41">
        <v>180.8</v>
      </c>
      <c r="AJ106" s="40">
        <v>94.3</v>
      </c>
      <c r="AK106" s="49">
        <v>266.66666666666669</v>
      </c>
      <c r="AL106" s="39">
        <f t="shared" si="28"/>
        <v>266.66666666666669</v>
      </c>
      <c r="AM106" s="49"/>
      <c r="AN106" s="49">
        <f t="shared" si="29"/>
        <v>266.66666666666669</v>
      </c>
    </row>
    <row r="107" spans="1:40" s="18" customFormat="1" ht="13.5" customHeight="1" x14ac:dyDescent="0.25">
      <c r="A107" s="46">
        <v>25320</v>
      </c>
      <c r="B107" s="45" t="s">
        <v>197</v>
      </c>
      <c r="C107" s="43">
        <v>9960.1</v>
      </c>
      <c r="D107" s="43">
        <f t="shared" si="35"/>
        <v>830.00833333333333</v>
      </c>
      <c r="E107" s="43">
        <v>744.9</v>
      </c>
      <c r="F107" s="43">
        <v>542.4</v>
      </c>
      <c r="G107" s="43">
        <f t="shared" si="36"/>
        <v>2320.7033000000001</v>
      </c>
      <c r="H107" s="44">
        <f t="shared" si="37"/>
        <v>7.0940019681570848E-3</v>
      </c>
      <c r="I107" s="43">
        <v>862.3</v>
      </c>
      <c r="J107" s="43"/>
      <c r="K107" s="43"/>
      <c r="L107" s="43">
        <f t="shared" si="38"/>
        <v>862.3</v>
      </c>
      <c r="M107" s="43">
        <v>862.3</v>
      </c>
      <c r="N107" s="43">
        <f t="shared" si="39"/>
        <v>0</v>
      </c>
      <c r="O107" s="43">
        <f t="shared" si="40"/>
        <v>100</v>
      </c>
      <c r="P107" s="43">
        <v>2460.5000000000005</v>
      </c>
      <c r="Q107" s="44">
        <f t="shared" si="41"/>
        <v>1.0038911195155084E-2</v>
      </c>
      <c r="R107" s="43">
        <f t="shared" si="42"/>
        <v>622.6029322449873</v>
      </c>
      <c r="S107" s="43"/>
      <c r="T107" s="43"/>
      <c r="U107" s="43"/>
      <c r="V107" s="43"/>
      <c r="W107" s="43"/>
      <c r="X107" s="43">
        <f t="shared" si="33"/>
        <v>622.6029322449873</v>
      </c>
      <c r="Y107" s="43">
        <v>631.29999999999995</v>
      </c>
      <c r="Z107" s="43">
        <f t="shared" si="43"/>
        <v>631.29999999999995</v>
      </c>
      <c r="AA107" s="43"/>
      <c r="AB107" s="43"/>
      <c r="AC107" s="43"/>
      <c r="AD107" s="43">
        <f t="shared" si="34"/>
        <v>631.29999999999995</v>
      </c>
      <c r="AE107" s="43">
        <f>1081.2-200</f>
        <v>881.2</v>
      </c>
      <c r="AF107" s="43">
        <f>20+124.5</f>
        <v>144.5</v>
      </c>
      <c r="AG107" s="43"/>
      <c r="AH107" s="42">
        <f t="shared" si="27"/>
        <v>1025.7</v>
      </c>
      <c r="AI107" s="41">
        <v>773.6</v>
      </c>
      <c r="AJ107" s="40">
        <v>738.4</v>
      </c>
      <c r="AK107" s="49">
        <v>781.13333333333333</v>
      </c>
      <c r="AL107" s="39">
        <f t="shared" si="28"/>
        <v>781.13333333333333</v>
      </c>
      <c r="AM107" s="49"/>
      <c r="AN107" s="49">
        <f t="shared" si="29"/>
        <v>781.13333333333333</v>
      </c>
    </row>
    <row r="108" spans="1:40" s="18" customFormat="1" ht="14.25" customHeight="1" x14ac:dyDescent="0.25">
      <c r="A108" s="46">
        <v>25420</v>
      </c>
      <c r="B108" s="45" t="s">
        <v>196</v>
      </c>
      <c r="C108" s="43">
        <v>10620.2</v>
      </c>
      <c r="D108" s="43">
        <f t="shared" si="35"/>
        <v>885.01666666666677</v>
      </c>
      <c r="E108" s="43">
        <v>760.3</v>
      </c>
      <c r="F108" s="43">
        <v>784</v>
      </c>
      <c r="G108" s="43">
        <f t="shared" si="36"/>
        <v>2474.5066000000002</v>
      </c>
      <c r="H108" s="44">
        <f t="shared" si="37"/>
        <v>8.5102674119668983E-3</v>
      </c>
      <c r="I108" s="43">
        <v>854.9</v>
      </c>
      <c r="J108" s="43"/>
      <c r="K108" s="43"/>
      <c r="L108" s="43">
        <f t="shared" si="38"/>
        <v>854.9</v>
      </c>
      <c r="M108" s="43">
        <v>766.6</v>
      </c>
      <c r="N108" s="43">
        <f t="shared" si="39"/>
        <v>-88.299999999999955</v>
      </c>
      <c r="O108" s="43">
        <f t="shared" si="40"/>
        <v>89.671306585565574</v>
      </c>
      <c r="P108" s="43">
        <v>2823</v>
      </c>
      <c r="Q108" s="44">
        <f t="shared" si="41"/>
        <v>1.151792168417915E-2</v>
      </c>
      <c r="R108" s="43">
        <f t="shared" si="42"/>
        <v>714.3296393934562</v>
      </c>
      <c r="S108" s="43"/>
      <c r="T108" s="43"/>
      <c r="U108" s="43"/>
      <c r="V108" s="43"/>
      <c r="W108" s="43"/>
      <c r="X108" s="43">
        <f t="shared" si="33"/>
        <v>714.3296393934562</v>
      </c>
      <c r="Y108" s="43">
        <v>744</v>
      </c>
      <c r="Z108" s="43">
        <f t="shared" si="43"/>
        <v>744</v>
      </c>
      <c r="AA108" s="43"/>
      <c r="AB108" s="43"/>
      <c r="AC108" s="43"/>
      <c r="AD108" s="43">
        <f t="shared" si="34"/>
        <v>744</v>
      </c>
      <c r="AE108" s="43">
        <f>1109.5-200</f>
        <v>909.5</v>
      </c>
      <c r="AF108" s="43"/>
      <c r="AG108" s="43"/>
      <c r="AH108" s="42">
        <f t="shared" si="27"/>
        <v>909.5</v>
      </c>
      <c r="AI108" s="41">
        <v>909.5</v>
      </c>
      <c r="AJ108" s="40">
        <v>880</v>
      </c>
      <c r="AK108" s="49">
        <v>989.58974358974365</v>
      </c>
      <c r="AL108" s="39">
        <f t="shared" si="28"/>
        <v>989.58974358974365</v>
      </c>
      <c r="AM108" s="49"/>
      <c r="AN108" s="49">
        <f t="shared" si="29"/>
        <v>989.58974358974365</v>
      </c>
    </row>
    <row r="109" spans="1:40" s="18" customFormat="1" ht="13.2" x14ac:dyDescent="0.25">
      <c r="A109" s="48">
        <v>25910</v>
      </c>
      <c r="B109" s="45" t="s">
        <v>195</v>
      </c>
      <c r="C109" s="43">
        <v>100000</v>
      </c>
      <c r="D109" s="43">
        <f t="shared" si="35"/>
        <v>8333.3333333333339</v>
      </c>
      <c r="E109" s="43"/>
      <c r="F109" s="43"/>
      <c r="G109" s="43">
        <f t="shared" si="36"/>
        <v>23300</v>
      </c>
      <c r="H109" s="44">
        <v>0.12514600000000001</v>
      </c>
      <c r="I109" s="43">
        <f>7990664.7*H109/100+8000</f>
        <v>17999.997245462</v>
      </c>
      <c r="J109" s="43"/>
      <c r="K109" s="43"/>
      <c r="L109" s="43">
        <f t="shared" si="38"/>
        <v>17999.997245462</v>
      </c>
      <c r="M109" s="43">
        <v>18000</v>
      </c>
      <c r="N109" s="43">
        <f t="shared" si="39"/>
        <v>2.754537999862805E-3</v>
      </c>
      <c r="O109" s="43">
        <f t="shared" si="40"/>
        <v>100.00001530299123</v>
      </c>
      <c r="P109" s="43">
        <v>15000</v>
      </c>
      <c r="Q109" s="44">
        <f t="shared" si="41"/>
        <v>6.1200434028582086E-2</v>
      </c>
      <c r="R109" s="43">
        <f>6201897*Q109/100-3795.6</f>
        <v>-1.2117994388518127E-2</v>
      </c>
      <c r="S109" s="43"/>
      <c r="T109" s="43"/>
      <c r="U109" s="43">
        <v>10000</v>
      </c>
      <c r="V109" s="43"/>
      <c r="W109" s="43"/>
      <c r="X109" s="43">
        <f t="shared" si="33"/>
        <v>9999.987882005611</v>
      </c>
      <c r="Y109" s="43"/>
      <c r="Z109" s="43">
        <f t="shared" si="43"/>
        <v>0</v>
      </c>
      <c r="AA109" s="43"/>
      <c r="AB109" s="43"/>
      <c r="AC109" s="43">
        <v>1500</v>
      </c>
      <c r="AD109" s="43">
        <f t="shared" si="34"/>
        <v>1500</v>
      </c>
      <c r="AE109" s="43"/>
      <c r="AF109" s="43"/>
      <c r="AG109" s="43"/>
      <c r="AH109" s="42">
        <f t="shared" si="27"/>
        <v>0</v>
      </c>
      <c r="AI109" s="41">
        <f>7000</f>
        <v>7000</v>
      </c>
      <c r="AJ109" s="40">
        <v>0</v>
      </c>
      <c r="AK109" s="49">
        <v>6500</v>
      </c>
      <c r="AL109" s="39">
        <f t="shared" si="28"/>
        <v>6500</v>
      </c>
      <c r="AM109" s="49"/>
      <c r="AN109" s="49">
        <f t="shared" si="29"/>
        <v>6500</v>
      </c>
    </row>
    <row r="110" spans="1:40" s="18" customFormat="1" ht="13.2" x14ac:dyDescent="0.25">
      <c r="A110" s="46">
        <v>26612</v>
      </c>
      <c r="B110" s="45" t="s">
        <v>194</v>
      </c>
      <c r="C110" s="43">
        <v>1609300</v>
      </c>
      <c r="D110" s="43">
        <f t="shared" si="35"/>
        <v>134108.33333333334</v>
      </c>
      <c r="E110" s="43">
        <v>134000</v>
      </c>
      <c r="F110" s="43">
        <v>126518</v>
      </c>
      <c r="G110" s="43">
        <f t="shared" si="36"/>
        <v>374966.9</v>
      </c>
      <c r="H110" s="44">
        <f>(E110+F110)/(8725103.2+9421212.6)*100</f>
        <v>1.4356522991846092</v>
      </c>
      <c r="I110" s="43">
        <v>125714</v>
      </c>
      <c r="J110" s="43"/>
      <c r="K110" s="43"/>
      <c r="L110" s="43">
        <f t="shared" si="38"/>
        <v>125714</v>
      </c>
      <c r="M110" s="43">
        <v>125714</v>
      </c>
      <c r="N110" s="43">
        <f t="shared" si="39"/>
        <v>0</v>
      </c>
      <c r="O110" s="43">
        <f t="shared" si="40"/>
        <v>100</v>
      </c>
      <c r="P110" s="43">
        <v>386232</v>
      </c>
      <c r="Q110" s="44">
        <f t="shared" si="41"/>
        <v>1.5758377357151545</v>
      </c>
      <c r="R110" s="43">
        <f>6201897*Q110/100</f>
        <v>97731.833256186103</v>
      </c>
      <c r="S110" s="43">
        <f>129000-R110</f>
        <v>31268.166743813897</v>
      </c>
      <c r="T110" s="43"/>
      <c r="U110" s="43"/>
      <c r="V110" s="43"/>
      <c r="W110" s="43"/>
      <c r="X110" s="43">
        <f t="shared" si="33"/>
        <v>129000</v>
      </c>
      <c r="Y110" s="43"/>
      <c r="Z110" s="43">
        <v>129000</v>
      </c>
      <c r="AA110" s="43"/>
      <c r="AB110" s="43"/>
      <c r="AC110" s="43"/>
      <c r="AD110" s="43">
        <f t="shared" si="34"/>
        <v>129000</v>
      </c>
      <c r="AE110" s="43">
        <v>132847</v>
      </c>
      <c r="AF110" s="43"/>
      <c r="AG110" s="43"/>
      <c r="AH110" s="42">
        <f t="shared" si="27"/>
        <v>132847</v>
      </c>
      <c r="AI110" s="41">
        <v>166294.29999999999</v>
      </c>
      <c r="AJ110" s="40">
        <v>166994.29999999999</v>
      </c>
      <c r="AK110" s="49">
        <f>170000-36000</f>
        <v>134000</v>
      </c>
      <c r="AL110" s="39">
        <f t="shared" si="28"/>
        <v>134000</v>
      </c>
      <c r="AM110" s="49"/>
      <c r="AN110" s="49">
        <f t="shared" si="29"/>
        <v>134000</v>
      </c>
    </row>
    <row r="111" spans="1:40" s="18" customFormat="1" ht="25.5" customHeight="1" x14ac:dyDescent="0.25">
      <c r="A111" s="46">
        <v>26613</v>
      </c>
      <c r="B111" s="45" t="s">
        <v>193</v>
      </c>
      <c r="C111" s="43">
        <v>450700</v>
      </c>
      <c r="D111" s="43">
        <f t="shared" si="35"/>
        <v>37558.333333333336</v>
      </c>
      <c r="E111" s="43">
        <v>42668</v>
      </c>
      <c r="F111" s="43"/>
      <c r="G111" s="43">
        <f t="shared" si="36"/>
        <v>105013.1</v>
      </c>
      <c r="H111" s="44">
        <f>(E111+F111)/(8725103.2+9421212.6)*100</f>
        <v>0.23513312823531929</v>
      </c>
      <c r="I111" s="43">
        <v>65500</v>
      </c>
      <c r="J111" s="43"/>
      <c r="K111" s="43"/>
      <c r="L111" s="43">
        <f t="shared" si="38"/>
        <v>65500</v>
      </c>
      <c r="M111" s="43">
        <v>25000</v>
      </c>
      <c r="N111" s="43">
        <f t="shared" si="39"/>
        <v>-40500</v>
      </c>
      <c r="O111" s="43">
        <f t="shared" si="40"/>
        <v>38.167938931297712</v>
      </c>
      <c r="P111" s="43">
        <v>108168</v>
      </c>
      <c r="Q111" s="44">
        <f t="shared" si="41"/>
        <v>0.44132856986691116</v>
      </c>
      <c r="R111" s="43">
        <f>6201897*Q111/100</f>
        <v>27370.743334718867</v>
      </c>
      <c r="S111" s="43">
        <f>69000-R111-20000</f>
        <v>21629.256665281137</v>
      </c>
      <c r="T111" s="43">
        <f>16600+6450</f>
        <v>23050</v>
      </c>
      <c r="U111" s="43"/>
      <c r="V111" s="43"/>
      <c r="W111" s="43"/>
      <c r="X111" s="43">
        <f t="shared" si="33"/>
        <v>72050</v>
      </c>
      <c r="Y111" s="43"/>
      <c r="Z111" s="43">
        <v>31000</v>
      </c>
      <c r="AA111" s="43"/>
      <c r="AB111" s="43"/>
      <c r="AC111" s="43">
        <f>52900+6000</f>
        <v>58900</v>
      </c>
      <c r="AD111" s="43">
        <f t="shared" si="34"/>
        <v>89900</v>
      </c>
      <c r="AE111" s="43">
        <f>57273.7-47273.7</f>
        <v>10000</v>
      </c>
      <c r="AF111" s="43">
        <v>11000</v>
      </c>
      <c r="AG111" s="43"/>
      <c r="AH111" s="42">
        <f t="shared" si="27"/>
        <v>21000</v>
      </c>
      <c r="AI111" s="41">
        <f>40000+3500+45310.4</f>
        <v>88810.4</v>
      </c>
      <c r="AJ111" s="40">
        <v>234809</v>
      </c>
      <c r="AK111" s="49">
        <v>217600</v>
      </c>
      <c r="AL111" s="39">
        <f t="shared" si="28"/>
        <v>217600</v>
      </c>
      <c r="AM111" s="49"/>
      <c r="AN111" s="49">
        <f t="shared" si="29"/>
        <v>217600</v>
      </c>
    </row>
    <row r="112" spans="1:40" s="18" customFormat="1" ht="13.2" x14ac:dyDescent="0.25">
      <c r="A112" s="46">
        <v>26621</v>
      </c>
      <c r="B112" s="45" t="s">
        <v>192</v>
      </c>
      <c r="C112" s="43">
        <v>500000</v>
      </c>
      <c r="D112" s="43">
        <f t="shared" si="35"/>
        <v>41666.666666666664</v>
      </c>
      <c r="E112" s="43"/>
      <c r="F112" s="43"/>
      <c r="G112" s="43">
        <f t="shared" si="36"/>
        <v>116500</v>
      </c>
      <c r="H112" s="44">
        <f>(E112+F112)/(8725103.2+9421212.6)*100</f>
        <v>0</v>
      </c>
      <c r="I112" s="43">
        <v>5000</v>
      </c>
      <c r="J112" s="43"/>
      <c r="K112" s="43"/>
      <c r="L112" s="43">
        <f t="shared" si="38"/>
        <v>5000</v>
      </c>
      <c r="M112" s="43">
        <v>0</v>
      </c>
      <c r="N112" s="43">
        <f t="shared" si="39"/>
        <v>-5000</v>
      </c>
      <c r="O112" s="43">
        <f t="shared" si="40"/>
        <v>0</v>
      </c>
      <c r="P112" s="43">
        <v>100000</v>
      </c>
      <c r="Q112" s="44">
        <f t="shared" si="41"/>
        <v>0.40800289352388058</v>
      </c>
      <c r="R112" s="43">
        <f>6201897*Q112/100</f>
        <v>25303.919213370747</v>
      </c>
      <c r="S112" s="43"/>
      <c r="T112" s="43"/>
      <c r="U112" s="43"/>
      <c r="V112" s="43"/>
      <c r="W112" s="43"/>
      <c r="X112" s="43">
        <f t="shared" si="33"/>
        <v>25303.919213370747</v>
      </c>
      <c r="Y112" s="43"/>
      <c r="Z112" s="43">
        <f>D112</f>
        <v>41666.666666666664</v>
      </c>
      <c r="AA112" s="43"/>
      <c r="AB112" s="43"/>
      <c r="AC112" s="43"/>
      <c r="AD112" s="43">
        <f t="shared" si="34"/>
        <v>41666.666666666664</v>
      </c>
      <c r="AE112" s="43">
        <v>105000</v>
      </c>
      <c r="AF112" s="43"/>
      <c r="AG112" s="43"/>
      <c r="AH112" s="42">
        <f t="shared" si="27"/>
        <v>105000</v>
      </c>
      <c r="AI112" s="41">
        <v>109833.3</v>
      </c>
      <c r="AJ112" s="40">
        <v>66000</v>
      </c>
      <c r="AK112" s="49">
        <v>100000</v>
      </c>
      <c r="AL112" s="39">
        <f t="shared" si="28"/>
        <v>100000</v>
      </c>
      <c r="AM112" s="49"/>
      <c r="AN112" s="49">
        <f t="shared" si="29"/>
        <v>100000</v>
      </c>
    </row>
    <row r="113" spans="1:40" s="18" customFormat="1" ht="13.2" x14ac:dyDescent="0.25">
      <c r="A113" s="46">
        <v>26631</v>
      </c>
      <c r="B113" s="45" t="s">
        <v>191</v>
      </c>
      <c r="C113" s="43">
        <v>450000</v>
      </c>
      <c r="D113" s="43">
        <f t="shared" si="35"/>
        <v>37500</v>
      </c>
      <c r="E113" s="43">
        <v>50000</v>
      </c>
      <c r="F113" s="43">
        <v>40000</v>
      </c>
      <c r="G113" s="43">
        <f t="shared" si="36"/>
        <v>104850</v>
      </c>
      <c r="H113" s="44">
        <f>(E113+F113)/(8725103.2+9421212.6)*100</f>
        <v>0.49596844335752172</v>
      </c>
      <c r="I113" s="43">
        <v>25200</v>
      </c>
      <c r="J113" s="43"/>
      <c r="K113" s="43"/>
      <c r="L113" s="43">
        <f t="shared" si="38"/>
        <v>25200</v>
      </c>
      <c r="M113" s="43">
        <v>25200</v>
      </c>
      <c r="N113" s="43">
        <f t="shared" si="39"/>
        <v>0</v>
      </c>
      <c r="O113" s="43">
        <f t="shared" si="40"/>
        <v>100</v>
      </c>
      <c r="P113" s="43">
        <v>78300</v>
      </c>
      <c r="Q113" s="44">
        <f t="shared" si="41"/>
        <v>0.3194662656291985</v>
      </c>
      <c r="R113" s="43">
        <f>6201897*Q113/100</f>
        <v>19812.968744069294</v>
      </c>
      <c r="S113" s="43"/>
      <c r="T113" s="43"/>
      <c r="U113" s="43"/>
      <c r="V113" s="43"/>
      <c r="W113" s="43"/>
      <c r="X113" s="43">
        <f t="shared" si="33"/>
        <v>19812.968744069294</v>
      </c>
      <c r="Y113" s="43"/>
      <c r="Z113" s="43">
        <f>D113</f>
        <v>37500</v>
      </c>
      <c r="AA113" s="43"/>
      <c r="AB113" s="43"/>
      <c r="AC113" s="43"/>
      <c r="AD113" s="43">
        <f t="shared" si="34"/>
        <v>37500</v>
      </c>
      <c r="AE113" s="43">
        <v>20987</v>
      </c>
      <c r="AF113" s="43"/>
      <c r="AG113" s="43"/>
      <c r="AH113" s="42">
        <f t="shared" si="27"/>
        <v>20987</v>
      </c>
      <c r="AI113" s="41">
        <v>20987</v>
      </c>
      <c r="AJ113" s="40">
        <v>50000</v>
      </c>
      <c r="AK113" s="49">
        <f>75000-35000</f>
        <v>40000</v>
      </c>
      <c r="AL113" s="39">
        <f t="shared" si="28"/>
        <v>40000</v>
      </c>
      <c r="AM113" s="49"/>
      <c r="AN113" s="49">
        <f t="shared" si="29"/>
        <v>40000</v>
      </c>
    </row>
    <row r="114" spans="1:40" s="18" customFormat="1" ht="13.2" x14ac:dyDescent="0.25">
      <c r="A114" s="46">
        <v>26632</v>
      </c>
      <c r="B114" s="45" t="s">
        <v>190</v>
      </c>
      <c r="C114" s="43">
        <f>SUM(C115:C118)</f>
        <v>21869730</v>
      </c>
      <c r="D114" s="43">
        <f>SUM(D115:D118)</f>
        <v>1822477.5</v>
      </c>
      <c r="E114" s="43">
        <f>SUM(E115:E118)</f>
        <v>1058343.6000000001</v>
      </c>
      <c r="F114" s="43">
        <f>SUM(F115:F118)</f>
        <v>1259815.3999999999</v>
      </c>
      <c r="G114" s="43"/>
      <c r="H114" s="44"/>
      <c r="I114" s="43"/>
      <c r="J114" s="43"/>
      <c r="K114" s="43"/>
      <c r="L114" s="43">
        <f>SUM(L115:L118)</f>
        <v>2774708.9</v>
      </c>
      <c r="M114" s="43">
        <v>2754957.213</v>
      </c>
      <c r="N114" s="43">
        <f t="shared" si="39"/>
        <v>-19751.686999999918</v>
      </c>
      <c r="O114" s="43">
        <f t="shared" si="40"/>
        <v>99.288152822085223</v>
      </c>
      <c r="P114" s="43">
        <v>5213743.2</v>
      </c>
      <c r="Q114" s="44"/>
      <c r="R114" s="43">
        <v>2280020.1</v>
      </c>
      <c r="S114" s="43">
        <v>36500</v>
      </c>
      <c r="T114" s="43"/>
      <c r="U114" s="43"/>
      <c r="V114" s="43"/>
      <c r="W114" s="43"/>
      <c r="X114" s="43">
        <f t="shared" si="33"/>
        <v>2316520.1</v>
      </c>
      <c r="Y114" s="43"/>
      <c r="Z114" s="43">
        <f>254041.8+972065.5</f>
        <v>1226107.3</v>
      </c>
      <c r="AA114" s="43"/>
      <c r="AB114" s="43"/>
      <c r="AC114" s="43"/>
      <c r="AD114" s="43">
        <f t="shared" si="34"/>
        <v>1226107.3</v>
      </c>
      <c r="AE114" s="43">
        <f>596076.1+972022.7+0.1-240385.9</f>
        <v>1327713</v>
      </c>
      <c r="AF114" s="43"/>
      <c r="AG114" s="43"/>
      <c r="AH114" s="42">
        <f t="shared" si="27"/>
        <v>1327713</v>
      </c>
      <c r="AI114" s="41">
        <v>1287942.1000000001</v>
      </c>
      <c r="AJ114" s="40">
        <v>1746774</v>
      </c>
      <c r="AK114" s="49">
        <v>2646734.2000000002</v>
      </c>
      <c r="AL114" s="39">
        <f t="shared" si="28"/>
        <v>2646734.2000000002</v>
      </c>
      <c r="AM114" s="49"/>
      <c r="AN114" s="49">
        <f t="shared" si="29"/>
        <v>2646734.2000000002</v>
      </c>
    </row>
    <row r="115" spans="1:40" s="18" customFormat="1" ht="13.2" hidden="1" x14ac:dyDescent="0.25">
      <c r="A115" s="56">
        <v>26632</v>
      </c>
      <c r="B115" s="55" t="s">
        <v>189</v>
      </c>
      <c r="C115" s="52">
        <v>3699600</v>
      </c>
      <c r="D115" s="52">
        <f t="shared" ref="D115:D124" si="44">C115/12</f>
        <v>308300</v>
      </c>
      <c r="E115" s="52">
        <v>136542.29999999999</v>
      </c>
      <c r="F115" s="52">
        <v>217953.4</v>
      </c>
      <c r="G115" s="52">
        <f t="shared" ref="G115:G124" si="45">C115*23.3/100</f>
        <v>862006.8</v>
      </c>
      <c r="H115" s="54">
        <f t="shared" ref="H115:H122" si="46">(E115+F115)/(8725103.2+9421212.6)*100</f>
        <v>1.9535408945103887</v>
      </c>
      <c r="I115" s="52">
        <v>696834.4</v>
      </c>
      <c r="J115" s="52"/>
      <c r="K115" s="52"/>
      <c r="L115" s="52">
        <f t="shared" ref="L115:L130" si="47">SUM(I115:K115)</f>
        <v>696834.4</v>
      </c>
      <c r="M115" s="52"/>
      <c r="N115" s="52"/>
      <c r="O115" s="52">
        <f t="shared" si="40"/>
        <v>0</v>
      </c>
      <c r="P115" s="52"/>
      <c r="Q115" s="44">
        <f>P115/33760945.6*100</f>
        <v>0</v>
      </c>
      <c r="R115" s="43">
        <f t="shared" ref="R115:R122" si="48">6201897*Q115/100</f>
        <v>0</v>
      </c>
      <c r="S115" s="47"/>
      <c r="T115" s="43"/>
      <c r="U115" s="43"/>
      <c r="V115" s="43"/>
      <c r="W115" s="43"/>
      <c r="X115" s="43">
        <f t="shared" si="33"/>
        <v>0</v>
      </c>
      <c r="Y115" s="43"/>
      <c r="Z115" s="47"/>
      <c r="AA115" s="47"/>
      <c r="AB115" s="47"/>
      <c r="AC115" s="51"/>
      <c r="AD115" s="43">
        <f t="shared" si="34"/>
        <v>0</v>
      </c>
      <c r="AE115" s="43"/>
      <c r="AF115" s="43"/>
      <c r="AG115" s="43"/>
      <c r="AH115" s="42">
        <f t="shared" si="27"/>
        <v>0</v>
      </c>
      <c r="AI115" s="41"/>
      <c r="AJ115" s="40">
        <v>0</v>
      </c>
      <c r="AK115" s="49"/>
      <c r="AL115" s="39">
        <f t="shared" si="28"/>
        <v>0</v>
      </c>
      <c r="AM115" s="49"/>
      <c r="AN115" s="49">
        <f t="shared" si="29"/>
        <v>0</v>
      </c>
    </row>
    <row r="116" spans="1:40" s="18" customFormat="1" ht="13.2" hidden="1" x14ac:dyDescent="0.25">
      <c r="A116" s="56">
        <v>26632</v>
      </c>
      <c r="B116" s="55" t="s">
        <v>188</v>
      </c>
      <c r="C116" s="52">
        <v>6109400</v>
      </c>
      <c r="D116" s="52">
        <f t="shared" si="44"/>
        <v>509116.66666666669</v>
      </c>
      <c r="E116" s="52">
        <v>197022.7</v>
      </c>
      <c r="F116" s="52">
        <v>333375.5</v>
      </c>
      <c r="G116" s="52">
        <f t="shared" si="45"/>
        <v>1423490.2</v>
      </c>
      <c r="H116" s="54">
        <f t="shared" si="46"/>
        <v>2.9228974401514609</v>
      </c>
      <c r="I116" s="52">
        <v>1148159.5</v>
      </c>
      <c r="J116" s="52"/>
      <c r="K116" s="52"/>
      <c r="L116" s="52">
        <f t="shared" si="47"/>
        <v>1148159.5</v>
      </c>
      <c r="M116" s="52"/>
      <c r="N116" s="52"/>
      <c r="O116" s="52">
        <f t="shared" si="40"/>
        <v>0</v>
      </c>
      <c r="P116" s="52"/>
      <c r="Q116" s="44">
        <f>P116/33760945.6*100</f>
        <v>0</v>
      </c>
      <c r="R116" s="43">
        <f t="shared" si="48"/>
        <v>0</v>
      </c>
      <c r="S116" s="47"/>
      <c r="T116" s="43"/>
      <c r="U116" s="43"/>
      <c r="V116" s="43"/>
      <c r="W116" s="43"/>
      <c r="X116" s="43">
        <f t="shared" si="33"/>
        <v>0</v>
      </c>
      <c r="Y116" s="43"/>
      <c r="Z116" s="47"/>
      <c r="AA116" s="47"/>
      <c r="AB116" s="47"/>
      <c r="AC116" s="51"/>
      <c r="AD116" s="43">
        <f t="shared" si="34"/>
        <v>0</v>
      </c>
      <c r="AE116" s="43"/>
      <c r="AF116" s="43"/>
      <c r="AG116" s="43"/>
      <c r="AH116" s="42">
        <f t="shared" si="27"/>
        <v>0</v>
      </c>
      <c r="AI116" s="41"/>
      <c r="AJ116" s="40">
        <v>0</v>
      </c>
      <c r="AK116" s="49"/>
      <c r="AL116" s="39">
        <f t="shared" si="28"/>
        <v>0</v>
      </c>
      <c r="AM116" s="49"/>
      <c r="AN116" s="49">
        <f t="shared" si="29"/>
        <v>0</v>
      </c>
    </row>
    <row r="117" spans="1:40" s="18" customFormat="1" ht="13.2" hidden="1" x14ac:dyDescent="0.25">
      <c r="A117" s="56">
        <v>26632</v>
      </c>
      <c r="B117" s="55" t="s">
        <v>187</v>
      </c>
      <c r="C117" s="52">
        <v>1899030</v>
      </c>
      <c r="D117" s="52">
        <f t="shared" si="44"/>
        <v>158252.5</v>
      </c>
      <c r="E117" s="52">
        <v>134792.79999999999</v>
      </c>
      <c r="F117" s="52">
        <v>186911.3</v>
      </c>
      <c r="G117" s="52">
        <f t="shared" si="45"/>
        <v>442473.99</v>
      </c>
      <c r="H117" s="54">
        <f t="shared" si="46"/>
        <v>1.7728342410970277</v>
      </c>
      <c r="I117" s="52">
        <v>139572.5</v>
      </c>
      <c r="J117" s="52"/>
      <c r="K117" s="52"/>
      <c r="L117" s="52">
        <f t="shared" si="47"/>
        <v>139572.5</v>
      </c>
      <c r="M117" s="52"/>
      <c r="N117" s="52"/>
      <c r="O117" s="52">
        <f t="shared" si="40"/>
        <v>0</v>
      </c>
      <c r="P117" s="52"/>
      <c r="Q117" s="44">
        <f>P117/33760945.6*100</f>
        <v>0</v>
      </c>
      <c r="R117" s="43">
        <f t="shared" si="48"/>
        <v>0</v>
      </c>
      <c r="S117" s="47"/>
      <c r="T117" s="43"/>
      <c r="U117" s="43"/>
      <c r="V117" s="43"/>
      <c r="W117" s="43"/>
      <c r="X117" s="43">
        <f t="shared" si="33"/>
        <v>0</v>
      </c>
      <c r="Y117" s="43"/>
      <c r="Z117" s="47"/>
      <c r="AA117" s="47"/>
      <c r="AB117" s="47"/>
      <c r="AC117" s="51"/>
      <c r="AD117" s="43">
        <f t="shared" si="34"/>
        <v>0</v>
      </c>
      <c r="AE117" s="43"/>
      <c r="AF117" s="43"/>
      <c r="AG117" s="43"/>
      <c r="AH117" s="42">
        <f t="shared" si="27"/>
        <v>0</v>
      </c>
      <c r="AI117" s="41"/>
      <c r="AJ117" s="40">
        <v>0</v>
      </c>
      <c r="AK117" s="49"/>
      <c r="AL117" s="39">
        <f t="shared" si="28"/>
        <v>0</v>
      </c>
      <c r="AM117" s="49"/>
      <c r="AN117" s="49">
        <f t="shared" si="29"/>
        <v>0</v>
      </c>
    </row>
    <row r="118" spans="1:40" s="18" customFormat="1" ht="13.2" hidden="1" x14ac:dyDescent="0.25">
      <c r="A118" s="56">
        <v>26632</v>
      </c>
      <c r="B118" s="55" t="s">
        <v>186</v>
      </c>
      <c r="C118" s="52">
        <v>10161700</v>
      </c>
      <c r="D118" s="52">
        <f t="shared" si="44"/>
        <v>846808.33333333337</v>
      </c>
      <c r="E118" s="52">
        <v>589985.80000000005</v>
      </c>
      <c r="F118" s="52">
        <v>521575.2</v>
      </c>
      <c r="G118" s="52">
        <f t="shared" si="45"/>
        <v>2367676.1</v>
      </c>
      <c r="H118" s="54">
        <f t="shared" si="46"/>
        <v>6.1255464318547803</v>
      </c>
      <c r="I118" s="52">
        <v>790142.5</v>
      </c>
      <c r="J118" s="52"/>
      <c r="K118" s="52"/>
      <c r="L118" s="52">
        <f t="shared" si="47"/>
        <v>790142.5</v>
      </c>
      <c r="M118" s="53"/>
      <c r="N118" s="52"/>
      <c r="O118" s="52">
        <f t="shared" si="40"/>
        <v>0</v>
      </c>
      <c r="P118" s="52"/>
      <c r="Q118" s="44">
        <f>P118/33760945.6*100</f>
        <v>0</v>
      </c>
      <c r="R118" s="43">
        <f t="shared" si="48"/>
        <v>0</v>
      </c>
      <c r="S118" s="47"/>
      <c r="T118" s="43"/>
      <c r="U118" s="43"/>
      <c r="V118" s="43"/>
      <c r="W118" s="43"/>
      <c r="X118" s="43">
        <f t="shared" si="33"/>
        <v>0</v>
      </c>
      <c r="Y118" s="43"/>
      <c r="Z118" s="47"/>
      <c r="AA118" s="47"/>
      <c r="AB118" s="47"/>
      <c r="AC118" s="51"/>
      <c r="AD118" s="43">
        <f t="shared" si="34"/>
        <v>0</v>
      </c>
      <c r="AE118" s="43"/>
      <c r="AF118" s="43"/>
      <c r="AG118" s="43"/>
      <c r="AH118" s="42">
        <f t="shared" si="27"/>
        <v>0</v>
      </c>
      <c r="AI118" s="41"/>
      <c r="AJ118" s="40">
        <v>0</v>
      </c>
      <c r="AK118" s="49"/>
      <c r="AL118" s="39">
        <f t="shared" si="28"/>
        <v>0</v>
      </c>
      <c r="AM118" s="49"/>
      <c r="AN118" s="49">
        <f t="shared" si="29"/>
        <v>0</v>
      </c>
    </row>
    <row r="119" spans="1:40" s="18" customFormat="1" ht="13.2" x14ac:dyDescent="0.25">
      <c r="A119" s="46">
        <v>26633</v>
      </c>
      <c r="B119" s="45" t="s">
        <v>185</v>
      </c>
      <c r="C119" s="43">
        <v>850000</v>
      </c>
      <c r="D119" s="43">
        <f t="shared" si="44"/>
        <v>70833.333333333328</v>
      </c>
      <c r="E119" s="43">
        <v>61605.599999999999</v>
      </c>
      <c r="F119" s="43">
        <v>49990.8</v>
      </c>
      <c r="G119" s="43">
        <f t="shared" si="45"/>
        <v>198050</v>
      </c>
      <c r="H119" s="44">
        <f t="shared" si="46"/>
        <v>0.61498103102559265</v>
      </c>
      <c r="I119" s="43">
        <v>88403.6</v>
      </c>
      <c r="J119" s="43"/>
      <c r="K119" s="43"/>
      <c r="L119" s="43">
        <f t="shared" si="47"/>
        <v>88403.6</v>
      </c>
      <c r="M119" s="43">
        <v>88403.6</v>
      </c>
      <c r="N119" s="43">
        <f t="shared" ref="N119:N130" si="49">M119-L119</f>
        <v>0</v>
      </c>
      <c r="O119" s="43">
        <f t="shared" si="40"/>
        <v>100</v>
      </c>
      <c r="P119" s="43">
        <v>250000</v>
      </c>
      <c r="Q119" s="44">
        <f t="shared" ref="Q119:Q130" si="50">P119/24509630.1*100</f>
        <v>1.0200072338097015</v>
      </c>
      <c r="R119" s="43">
        <f t="shared" si="48"/>
        <v>63259.798033426858</v>
      </c>
      <c r="S119" s="43"/>
      <c r="T119" s="43"/>
      <c r="U119" s="43"/>
      <c r="V119" s="43">
        <v>7315</v>
      </c>
      <c r="W119" s="43"/>
      <c r="X119" s="43">
        <f t="shared" si="33"/>
        <v>70574.798033426865</v>
      </c>
      <c r="Y119" s="43"/>
      <c r="Z119" s="43">
        <f>D119</f>
        <v>70833.333333333328</v>
      </c>
      <c r="AA119" s="43"/>
      <c r="AB119" s="43"/>
      <c r="AC119" s="43"/>
      <c r="AD119" s="43">
        <f t="shared" si="34"/>
        <v>70833.333333333328</v>
      </c>
      <c r="AE119" s="43">
        <v>32200</v>
      </c>
      <c r="AF119" s="43"/>
      <c r="AG119" s="43"/>
      <c r="AH119" s="42">
        <f t="shared" si="27"/>
        <v>32200</v>
      </c>
      <c r="AI119" s="41">
        <f>32200+68000</f>
        <v>100200</v>
      </c>
      <c r="AJ119" s="40">
        <v>80000</v>
      </c>
      <c r="AK119" s="49">
        <v>50000</v>
      </c>
      <c r="AL119" s="39">
        <f t="shared" si="28"/>
        <v>50000</v>
      </c>
      <c r="AM119" s="49"/>
      <c r="AN119" s="49">
        <f t="shared" si="29"/>
        <v>50000</v>
      </c>
    </row>
    <row r="120" spans="1:40" s="18" customFormat="1" ht="13.2" x14ac:dyDescent="0.25">
      <c r="A120" s="46">
        <v>26634</v>
      </c>
      <c r="B120" s="45" t="s">
        <v>184</v>
      </c>
      <c r="C120" s="43">
        <v>190300.79999999999</v>
      </c>
      <c r="D120" s="43">
        <f t="shared" si="44"/>
        <v>15858.4</v>
      </c>
      <c r="E120" s="43">
        <v>88797.3</v>
      </c>
      <c r="F120" s="43">
        <v>4566.6000000000004</v>
      </c>
      <c r="G120" s="43">
        <f t="shared" si="45"/>
        <v>44340.0864</v>
      </c>
      <c r="H120" s="44">
        <f t="shared" si="46"/>
        <v>0.51450609054208141</v>
      </c>
      <c r="I120" s="43">
        <v>20816.5</v>
      </c>
      <c r="J120" s="43"/>
      <c r="K120" s="43"/>
      <c r="L120" s="43">
        <f t="shared" si="47"/>
        <v>20816.5</v>
      </c>
      <c r="M120" s="43">
        <v>11000</v>
      </c>
      <c r="N120" s="43">
        <f t="shared" si="49"/>
        <v>-9816.5</v>
      </c>
      <c r="O120" s="43">
        <f t="shared" si="40"/>
        <v>52.842696899094463</v>
      </c>
      <c r="P120" s="43">
        <v>38060.200000000012</v>
      </c>
      <c r="Q120" s="44">
        <f t="shared" si="50"/>
        <v>0.15528671728097604</v>
      </c>
      <c r="R120" s="43">
        <f t="shared" si="48"/>
        <v>9630.7222604473336</v>
      </c>
      <c r="S120" s="43">
        <f>225.42675*70-R120+1000-1000</f>
        <v>6149.1502395526659</v>
      </c>
      <c r="T120" s="43"/>
      <c r="U120" s="43"/>
      <c r="V120" s="43"/>
      <c r="W120" s="43"/>
      <c r="X120" s="43">
        <f t="shared" si="33"/>
        <v>15779.872499999999</v>
      </c>
      <c r="Y120" s="43"/>
      <c r="Z120" s="43">
        <f>D120</f>
        <v>15858.4</v>
      </c>
      <c r="AA120" s="43"/>
      <c r="AB120" s="43"/>
      <c r="AC120" s="43"/>
      <c r="AD120" s="43">
        <f t="shared" si="34"/>
        <v>15858.4</v>
      </c>
      <c r="AE120" s="43">
        <v>26145.8</v>
      </c>
      <c r="AF120" s="43"/>
      <c r="AG120" s="43"/>
      <c r="AH120" s="42">
        <f t="shared" si="27"/>
        <v>26145.8</v>
      </c>
      <c r="AI120" s="41">
        <v>7100</v>
      </c>
      <c r="AJ120" s="40">
        <v>16900</v>
      </c>
      <c r="AK120" s="49">
        <v>10850.2</v>
      </c>
      <c r="AL120" s="39">
        <f t="shared" si="28"/>
        <v>10850.2</v>
      </c>
      <c r="AM120" s="49"/>
      <c r="AN120" s="49">
        <f t="shared" si="29"/>
        <v>10850.2</v>
      </c>
    </row>
    <row r="121" spans="1:40" s="18" customFormat="1" ht="13.2" x14ac:dyDescent="0.25">
      <c r="A121" s="46">
        <v>26638</v>
      </c>
      <c r="B121" s="45" t="s">
        <v>183</v>
      </c>
      <c r="C121" s="43">
        <v>300000</v>
      </c>
      <c r="D121" s="43">
        <f t="shared" si="44"/>
        <v>25000</v>
      </c>
      <c r="E121" s="43">
        <v>305000</v>
      </c>
      <c r="F121" s="43"/>
      <c r="G121" s="43">
        <f t="shared" si="45"/>
        <v>69900</v>
      </c>
      <c r="H121" s="44">
        <f t="shared" si="46"/>
        <v>1.6807819469338237</v>
      </c>
      <c r="I121" s="43"/>
      <c r="J121" s="43"/>
      <c r="K121" s="43"/>
      <c r="L121" s="43">
        <f t="shared" si="47"/>
        <v>0</v>
      </c>
      <c r="M121" s="43"/>
      <c r="N121" s="43">
        <f t="shared" si="49"/>
        <v>0</v>
      </c>
      <c r="O121" s="43"/>
      <c r="P121" s="47"/>
      <c r="Q121" s="44">
        <f t="shared" si="50"/>
        <v>0</v>
      </c>
      <c r="R121" s="43">
        <f t="shared" si="48"/>
        <v>0</v>
      </c>
      <c r="S121" s="43"/>
      <c r="T121" s="43"/>
      <c r="U121" s="43"/>
      <c r="V121" s="43"/>
      <c r="W121" s="43"/>
      <c r="X121" s="43">
        <f t="shared" si="33"/>
        <v>0</v>
      </c>
      <c r="Y121" s="43"/>
      <c r="Z121" s="43">
        <f>Y121</f>
        <v>0</v>
      </c>
      <c r="AA121" s="43"/>
      <c r="AB121" s="43"/>
      <c r="AC121" s="43"/>
      <c r="AD121" s="43">
        <f t="shared" si="34"/>
        <v>0</v>
      </c>
      <c r="AE121" s="43"/>
      <c r="AF121" s="43"/>
      <c r="AG121" s="43"/>
      <c r="AH121" s="42">
        <f t="shared" si="27"/>
        <v>0</v>
      </c>
      <c r="AI121" s="41"/>
      <c r="AJ121" s="40">
        <v>0</v>
      </c>
      <c r="AK121" s="49"/>
      <c r="AL121" s="39">
        <f t="shared" si="28"/>
        <v>0</v>
      </c>
      <c r="AM121" s="49">
        <v>72000</v>
      </c>
      <c r="AN121" s="49">
        <f t="shared" si="29"/>
        <v>72000</v>
      </c>
    </row>
    <row r="122" spans="1:40" s="18" customFormat="1" ht="20.399999999999999" x14ac:dyDescent="0.25">
      <c r="A122" s="46">
        <v>26635</v>
      </c>
      <c r="B122" s="45" t="s">
        <v>182</v>
      </c>
      <c r="C122" s="43">
        <v>92861.4</v>
      </c>
      <c r="D122" s="43">
        <f t="shared" si="44"/>
        <v>7738.45</v>
      </c>
      <c r="E122" s="43">
        <v>4444</v>
      </c>
      <c r="F122" s="43">
        <v>3811.5</v>
      </c>
      <c r="G122" s="43">
        <f t="shared" si="45"/>
        <v>21636.706200000001</v>
      </c>
      <c r="H122" s="44">
        <f t="shared" si="46"/>
        <v>4.5494083157089117E-2</v>
      </c>
      <c r="I122" s="43">
        <v>10316.700000000001</v>
      </c>
      <c r="J122" s="43"/>
      <c r="K122" s="43"/>
      <c r="L122" s="43">
        <f t="shared" si="47"/>
        <v>10316.700000000001</v>
      </c>
      <c r="M122" s="43">
        <v>8322.43</v>
      </c>
      <c r="N122" s="43">
        <f t="shared" si="49"/>
        <v>-1994.2700000000004</v>
      </c>
      <c r="O122" s="43">
        <f>M122/L122*100</f>
        <v>80.66949702908876</v>
      </c>
      <c r="P122" s="43">
        <v>22936.799999999999</v>
      </c>
      <c r="Q122" s="44">
        <f t="shared" si="50"/>
        <v>9.3582807681785452E-2</v>
      </c>
      <c r="R122" s="43">
        <f t="shared" si="48"/>
        <v>5803.9093421324214</v>
      </c>
      <c r="S122" s="43"/>
      <c r="T122" s="43"/>
      <c r="U122" s="43"/>
      <c r="V122" s="43"/>
      <c r="W122" s="43"/>
      <c r="X122" s="43">
        <f t="shared" si="33"/>
        <v>5803.9093421324214</v>
      </c>
      <c r="Y122" s="43"/>
      <c r="Z122" s="43">
        <f>D122</f>
        <v>7738.45</v>
      </c>
      <c r="AA122" s="43"/>
      <c r="AB122" s="43"/>
      <c r="AC122" s="43"/>
      <c r="AD122" s="43">
        <f t="shared" si="34"/>
        <v>7738.45</v>
      </c>
      <c r="AE122" s="43">
        <v>600</v>
      </c>
      <c r="AF122" s="43"/>
      <c r="AG122" s="43"/>
      <c r="AH122" s="42">
        <f t="shared" si="27"/>
        <v>600</v>
      </c>
      <c r="AI122" s="41">
        <f>1000+7000</f>
        <v>8000</v>
      </c>
      <c r="AJ122" s="40">
        <v>7000</v>
      </c>
      <c r="AK122" s="49">
        <f>7000-6000</f>
        <v>1000</v>
      </c>
      <c r="AL122" s="39">
        <f t="shared" si="28"/>
        <v>1000</v>
      </c>
      <c r="AM122" s="49"/>
      <c r="AN122" s="49">
        <f t="shared" si="29"/>
        <v>1000</v>
      </c>
    </row>
    <row r="123" spans="1:40" s="18" customFormat="1" ht="13.2" x14ac:dyDescent="0.25">
      <c r="A123" s="46">
        <v>26638</v>
      </c>
      <c r="B123" s="45" t="s">
        <v>181</v>
      </c>
      <c r="C123" s="43">
        <v>100000</v>
      </c>
      <c r="D123" s="43">
        <f t="shared" si="44"/>
        <v>8333.3333333333339</v>
      </c>
      <c r="E123" s="43"/>
      <c r="F123" s="43"/>
      <c r="G123" s="43">
        <f t="shared" si="45"/>
        <v>23300</v>
      </c>
      <c r="H123" s="44">
        <v>0.12514600000000001</v>
      </c>
      <c r="I123" s="43"/>
      <c r="J123" s="43"/>
      <c r="K123" s="43"/>
      <c r="L123" s="43">
        <f t="shared" si="47"/>
        <v>0</v>
      </c>
      <c r="M123" s="47"/>
      <c r="N123" s="43">
        <f t="shared" si="49"/>
        <v>0</v>
      </c>
      <c r="O123" s="43"/>
      <c r="P123" s="43">
        <v>20000</v>
      </c>
      <c r="Q123" s="44">
        <f t="shared" si="50"/>
        <v>8.1600578704776119E-2</v>
      </c>
      <c r="R123" s="43">
        <f>6201897*Q123/100-5060.8</f>
        <v>-1.6157325851054338E-2</v>
      </c>
      <c r="S123" s="43"/>
      <c r="T123" s="43"/>
      <c r="U123" s="43"/>
      <c r="V123" s="43"/>
      <c r="W123" s="43"/>
      <c r="X123" s="43">
        <f t="shared" si="33"/>
        <v>-1.6157325851054338E-2</v>
      </c>
      <c r="Y123" s="43"/>
      <c r="Z123" s="43">
        <f>Y123</f>
        <v>0</v>
      </c>
      <c r="AA123" s="43"/>
      <c r="AB123" s="43"/>
      <c r="AC123" s="43"/>
      <c r="AD123" s="43">
        <f t="shared" si="34"/>
        <v>0</v>
      </c>
      <c r="AE123" s="43"/>
      <c r="AF123" s="43"/>
      <c r="AG123" s="43"/>
      <c r="AH123" s="42">
        <f t="shared" si="27"/>
        <v>0</v>
      </c>
      <c r="AI123" s="41"/>
      <c r="AJ123" s="40">
        <v>0</v>
      </c>
      <c r="AK123" s="49"/>
      <c r="AL123" s="39">
        <f t="shared" si="28"/>
        <v>0</v>
      </c>
      <c r="AM123" s="49"/>
      <c r="AN123" s="49">
        <f t="shared" si="29"/>
        <v>0</v>
      </c>
    </row>
    <row r="124" spans="1:40" s="18" customFormat="1" ht="20.399999999999999" x14ac:dyDescent="0.25">
      <c r="A124" s="46">
        <v>26636</v>
      </c>
      <c r="B124" s="45" t="s">
        <v>180</v>
      </c>
      <c r="C124" s="43">
        <v>400000</v>
      </c>
      <c r="D124" s="43">
        <f t="shared" si="44"/>
        <v>33333.333333333336</v>
      </c>
      <c r="E124" s="43"/>
      <c r="F124" s="43">
        <v>50856</v>
      </c>
      <c r="G124" s="43">
        <f t="shared" si="45"/>
        <v>93200</v>
      </c>
      <c r="H124" s="44">
        <f>(E124+F124)/(8725103.2+9421212.6)*100</f>
        <v>0.28025523505989025</v>
      </c>
      <c r="I124" s="43">
        <v>55944</v>
      </c>
      <c r="J124" s="43"/>
      <c r="K124" s="43">
        <v>22128.5</v>
      </c>
      <c r="L124" s="43">
        <f t="shared" si="47"/>
        <v>78072.5</v>
      </c>
      <c r="M124" s="43">
        <v>78072.5</v>
      </c>
      <c r="N124" s="43">
        <f t="shared" si="49"/>
        <v>0</v>
      </c>
      <c r="O124" s="43">
        <f>M124/L124*100</f>
        <v>100</v>
      </c>
      <c r="P124" s="43">
        <v>237814.2</v>
      </c>
      <c r="Q124" s="44">
        <f t="shared" si="50"/>
        <v>0.97028881721066851</v>
      </c>
      <c r="R124" s="43">
        <f>6201897*Q124/100</f>
        <v>60176.313045923933</v>
      </c>
      <c r="S124" s="43">
        <v>103300</v>
      </c>
      <c r="T124" s="43"/>
      <c r="U124" s="43"/>
      <c r="V124" s="43"/>
      <c r="W124" s="43"/>
      <c r="X124" s="43">
        <f t="shared" si="33"/>
        <v>163476.31304592395</v>
      </c>
      <c r="Y124" s="43"/>
      <c r="Z124" s="43">
        <f>D124</f>
        <v>33333.333333333336</v>
      </c>
      <c r="AA124" s="43">
        <v>9753.2000000000007</v>
      </c>
      <c r="AB124" s="43"/>
      <c r="AC124" s="43"/>
      <c r="AD124" s="43">
        <f t="shared" si="34"/>
        <v>43086.53333333334</v>
      </c>
      <c r="AE124" s="43">
        <v>31317</v>
      </c>
      <c r="AF124" s="43"/>
      <c r="AG124" s="43"/>
      <c r="AH124" s="42">
        <f t="shared" si="27"/>
        <v>31317</v>
      </c>
      <c r="AI124" s="41">
        <f>10251</f>
        <v>10251</v>
      </c>
      <c r="AJ124" s="40">
        <v>80196</v>
      </c>
      <c r="AK124" s="49">
        <v>9026.2999999999993</v>
      </c>
      <c r="AL124" s="39">
        <f t="shared" si="28"/>
        <v>9026.2999999999993</v>
      </c>
      <c r="AM124" s="49"/>
      <c r="AN124" s="49">
        <f t="shared" si="29"/>
        <v>9026.2999999999993</v>
      </c>
    </row>
    <row r="125" spans="1:40" s="18" customFormat="1" ht="13.2" x14ac:dyDescent="0.25">
      <c r="A125" s="46">
        <v>26638</v>
      </c>
      <c r="B125" s="45" t="s">
        <v>179</v>
      </c>
      <c r="C125" s="43"/>
      <c r="D125" s="43"/>
      <c r="E125" s="43"/>
      <c r="F125" s="43">
        <v>260000</v>
      </c>
      <c r="G125" s="43"/>
      <c r="H125" s="44">
        <f>(E125+F125)/(8725103.2+9421212.6)*100</f>
        <v>1.4327977252550628</v>
      </c>
      <c r="I125" s="43"/>
      <c r="J125" s="43">
        <v>500000</v>
      </c>
      <c r="K125" s="43"/>
      <c r="L125" s="43">
        <f t="shared" si="47"/>
        <v>500000</v>
      </c>
      <c r="M125" s="43">
        <v>500000</v>
      </c>
      <c r="N125" s="43">
        <f t="shared" si="49"/>
        <v>0</v>
      </c>
      <c r="O125" s="43">
        <f>M125/L125*100</f>
        <v>100</v>
      </c>
      <c r="P125" s="43"/>
      <c r="Q125" s="44">
        <f t="shared" si="50"/>
        <v>0</v>
      </c>
      <c r="R125" s="43">
        <f>6201897*Q125/100</f>
        <v>0</v>
      </c>
      <c r="S125" s="43"/>
      <c r="T125" s="43"/>
      <c r="U125" s="43"/>
      <c r="V125" s="43">
        <v>85000</v>
      </c>
      <c r="W125" s="43"/>
      <c r="X125" s="43">
        <f t="shared" si="33"/>
        <v>85000</v>
      </c>
      <c r="Y125" s="43"/>
      <c r="Z125" s="43">
        <f>Y125</f>
        <v>0</v>
      </c>
      <c r="AA125" s="43"/>
      <c r="AB125" s="43"/>
      <c r="AC125" s="43">
        <v>8000</v>
      </c>
      <c r="AD125" s="43">
        <f t="shared" si="34"/>
        <v>8000</v>
      </c>
      <c r="AE125" s="43"/>
      <c r="AF125" s="43"/>
      <c r="AG125" s="43"/>
      <c r="AH125" s="42">
        <f t="shared" si="27"/>
        <v>0</v>
      </c>
      <c r="AI125" s="41">
        <f>7022</f>
        <v>7022</v>
      </c>
      <c r="AJ125" s="40">
        <v>200000</v>
      </c>
      <c r="AK125" s="49"/>
      <c r="AL125" s="39">
        <f t="shared" si="28"/>
        <v>0</v>
      </c>
      <c r="AM125" s="49">
        <v>300000</v>
      </c>
      <c r="AN125" s="49">
        <f t="shared" si="29"/>
        <v>300000</v>
      </c>
    </row>
    <row r="126" spans="1:40" s="18" customFormat="1" ht="13.2" x14ac:dyDescent="0.25">
      <c r="A126" s="46">
        <v>26637</v>
      </c>
      <c r="B126" s="45" t="s">
        <v>178</v>
      </c>
      <c r="C126" s="43"/>
      <c r="D126" s="43"/>
      <c r="E126" s="43"/>
      <c r="F126" s="43"/>
      <c r="G126" s="43"/>
      <c r="H126" s="44"/>
      <c r="I126" s="43"/>
      <c r="J126" s="43">
        <v>478279.4</v>
      </c>
      <c r="K126" s="43"/>
      <c r="L126" s="43">
        <f t="shared" si="47"/>
        <v>478279.4</v>
      </c>
      <c r="M126" s="43">
        <v>478279.4</v>
      </c>
      <c r="N126" s="43">
        <f t="shared" si="49"/>
        <v>0</v>
      </c>
      <c r="O126" s="43">
        <f>M126/L126*100</f>
        <v>100</v>
      </c>
      <c r="P126" s="43"/>
      <c r="Q126" s="44">
        <f t="shared" si="50"/>
        <v>0</v>
      </c>
      <c r="R126" s="43">
        <f>6201897*Q126/100</f>
        <v>0</v>
      </c>
      <c r="S126" s="43"/>
      <c r="T126" s="43"/>
      <c r="U126" s="43"/>
      <c r="V126" s="43"/>
      <c r="W126" s="43"/>
      <c r="X126" s="43">
        <f t="shared" si="33"/>
        <v>0</v>
      </c>
      <c r="Y126" s="43"/>
      <c r="Z126" s="43">
        <f>Y126</f>
        <v>0</v>
      </c>
      <c r="AA126" s="43"/>
      <c r="AB126" s="43"/>
      <c r="AC126" s="43"/>
      <c r="AD126" s="43">
        <f t="shared" si="34"/>
        <v>0</v>
      </c>
      <c r="AE126" s="43"/>
      <c r="AF126" s="43"/>
      <c r="AG126" s="43"/>
      <c r="AH126" s="42">
        <f t="shared" si="27"/>
        <v>0</v>
      </c>
      <c r="AI126" s="41"/>
      <c r="AJ126" s="40">
        <v>0</v>
      </c>
      <c r="AK126" s="49"/>
      <c r="AL126" s="39">
        <f t="shared" si="28"/>
        <v>0</v>
      </c>
      <c r="AM126" s="49"/>
      <c r="AN126" s="49">
        <f t="shared" si="29"/>
        <v>0</v>
      </c>
    </row>
    <row r="127" spans="1:40" s="18" customFormat="1" ht="13.2" x14ac:dyDescent="0.25">
      <c r="A127" s="46">
        <v>26639</v>
      </c>
      <c r="B127" s="45" t="s">
        <v>177</v>
      </c>
      <c r="C127" s="43"/>
      <c r="D127" s="43"/>
      <c r="E127" s="43"/>
      <c r="F127" s="43"/>
      <c r="G127" s="43"/>
      <c r="H127" s="44"/>
      <c r="I127" s="43"/>
      <c r="J127" s="43"/>
      <c r="K127" s="43"/>
      <c r="L127" s="43">
        <f t="shared" si="47"/>
        <v>0</v>
      </c>
      <c r="M127" s="43">
        <v>0</v>
      </c>
      <c r="N127" s="43">
        <f t="shared" si="49"/>
        <v>0</v>
      </c>
      <c r="O127" s="43"/>
      <c r="P127" s="47"/>
      <c r="Q127" s="44">
        <f t="shared" si="50"/>
        <v>0</v>
      </c>
      <c r="R127" s="43">
        <f>6201897*Q127/100</f>
        <v>0</v>
      </c>
      <c r="S127" s="43"/>
      <c r="T127" s="43"/>
      <c r="U127" s="43"/>
      <c r="V127" s="43"/>
      <c r="W127" s="43"/>
      <c r="X127" s="43">
        <f t="shared" si="33"/>
        <v>0</v>
      </c>
      <c r="Y127" s="43"/>
      <c r="Z127" s="43">
        <f>Y127</f>
        <v>0</v>
      </c>
      <c r="AA127" s="43"/>
      <c r="AB127" s="43"/>
      <c r="AC127" s="43"/>
      <c r="AD127" s="43">
        <f t="shared" si="34"/>
        <v>0</v>
      </c>
      <c r="AE127" s="43">
        <v>35539</v>
      </c>
      <c r="AF127" s="43"/>
      <c r="AG127" s="43"/>
      <c r="AH127" s="42">
        <f t="shared" si="27"/>
        <v>35539</v>
      </c>
      <c r="AI127" s="41"/>
      <c r="AJ127" s="40">
        <v>0</v>
      </c>
      <c r="AK127" s="49"/>
      <c r="AL127" s="39">
        <f t="shared" si="28"/>
        <v>0</v>
      </c>
      <c r="AM127" s="49"/>
      <c r="AN127" s="49">
        <f t="shared" si="29"/>
        <v>0</v>
      </c>
    </row>
    <row r="128" spans="1:40" s="18" customFormat="1" ht="13.2" x14ac:dyDescent="0.25">
      <c r="A128" s="46">
        <v>26640</v>
      </c>
      <c r="B128" s="45" t="s">
        <v>176</v>
      </c>
      <c r="C128" s="43">
        <v>4760984.4000000004</v>
      </c>
      <c r="D128" s="43">
        <f>C128/12</f>
        <v>396748.7</v>
      </c>
      <c r="E128" s="43"/>
      <c r="F128" s="43">
        <v>399100</v>
      </c>
      <c r="G128" s="43">
        <f>C128*23.3/100</f>
        <v>1109309.3652000001</v>
      </c>
      <c r="H128" s="44">
        <f>(E128+F128)/(8725103.2+9421212.6)*100</f>
        <v>2.1993445082665213</v>
      </c>
      <c r="I128" s="43">
        <v>291649.59999999998</v>
      </c>
      <c r="J128" s="43"/>
      <c r="K128" s="43"/>
      <c r="L128" s="43">
        <f t="shared" si="47"/>
        <v>291649.59999999998</v>
      </c>
      <c r="M128" s="43">
        <v>284127.90000000002</v>
      </c>
      <c r="N128" s="43">
        <f t="shared" si="49"/>
        <v>-7521.6999999999534</v>
      </c>
      <c r="O128" s="43">
        <f>M128/L128*100</f>
        <v>97.420980519088673</v>
      </c>
      <c r="P128" s="43">
        <v>1339037.7999999998</v>
      </c>
      <c r="Q128" s="44">
        <f t="shared" si="50"/>
        <v>5.4633129693785127</v>
      </c>
      <c r="R128" s="43">
        <f>6201897*Q128/100</f>
        <v>338829.04314849689</v>
      </c>
      <c r="S128" s="43"/>
      <c r="T128" s="43"/>
      <c r="U128" s="43">
        <v>854465.4</v>
      </c>
      <c r="V128" s="43"/>
      <c r="W128" s="43"/>
      <c r="X128" s="43">
        <f t="shared" si="33"/>
        <v>1193294.443148497</v>
      </c>
      <c r="Y128" s="43"/>
      <c r="Z128" s="43">
        <v>120000</v>
      </c>
      <c r="AA128" s="43">
        <f>50000+20000+170000</f>
        <v>240000</v>
      </c>
      <c r="AB128" s="43">
        <v>282250</v>
      </c>
      <c r="AC128" s="43"/>
      <c r="AD128" s="43">
        <f t="shared" si="34"/>
        <v>642250</v>
      </c>
      <c r="AE128" s="43">
        <f>600000-500000</f>
        <v>100000</v>
      </c>
      <c r="AF128" s="43">
        <f>80000+19900+199770.7+400000+260000</f>
        <v>959670.7</v>
      </c>
      <c r="AG128" s="43">
        <f>25000+40000</f>
        <v>65000</v>
      </c>
      <c r="AH128" s="42">
        <f t="shared" si="27"/>
        <v>1124670.7</v>
      </c>
      <c r="AI128" s="41">
        <f>330000+691000+379000+120000</f>
        <v>1520000</v>
      </c>
      <c r="AJ128" s="40">
        <v>1585000</v>
      </c>
      <c r="AK128" s="49">
        <v>201267</v>
      </c>
      <c r="AL128" s="39">
        <f t="shared" si="28"/>
        <v>201267</v>
      </c>
      <c r="AM128" s="49">
        <v>463476.3</v>
      </c>
      <c r="AN128" s="49">
        <f t="shared" si="29"/>
        <v>664743.30000000005</v>
      </c>
    </row>
    <row r="129" spans="1:40" s="18" customFormat="1" ht="13.5" customHeight="1" x14ac:dyDescent="0.25">
      <c r="A129" s="46">
        <v>26652</v>
      </c>
      <c r="B129" s="45" t="s">
        <v>175</v>
      </c>
      <c r="C129" s="43">
        <v>500000</v>
      </c>
      <c r="D129" s="43">
        <f>C129/12</f>
        <v>41666.666666666664</v>
      </c>
      <c r="E129" s="43"/>
      <c r="F129" s="43"/>
      <c r="G129" s="43">
        <f>C129*23.3/100</f>
        <v>116500</v>
      </c>
      <c r="H129" s="44">
        <f>(E129+F129)/(8725103.2+9421212.6)*100</f>
        <v>0</v>
      </c>
      <c r="I129" s="43">
        <f>7990664.7*H129/100</f>
        <v>0</v>
      </c>
      <c r="J129" s="43">
        <v>2500</v>
      </c>
      <c r="K129" s="43"/>
      <c r="L129" s="43">
        <f t="shared" si="47"/>
        <v>2500</v>
      </c>
      <c r="M129" s="43">
        <v>2500</v>
      </c>
      <c r="N129" s="43">
        <f t="shared" si="49"/>
        <v>0</v>
      </c>
      <c r="O129" s="43">
        <f>M129/L129*100</f>
        <v>100</v>
      </c>
      <c r="P129" s="43">
        <v>247500</v>
      </c>
      <c r="Q129" s="44">
        <f t="shared" si="50"/>
        <v>1.0098071614716047</v>
      </c>
      <c r="R129" s="43">
        <f>6201897*Q129/100-62627.2</f>
        <v>5.3092604503035545E-5</v>
      </c>
      <c r="S129" s="43"/>
      <c r="T129" s="43"/>
      <c r="U129" s="43"/>
      <c r="V129" s="43"/>
      <c r="W129" s="43"/>
      <c r="X129" s="91">
        <f t="shared" ref="X129:X165" si="51">SUM(R129:V129)</f>
        <v>5.3092604503035545E-5</v>
      </c>
      <c r="Y129" s="43">
        <v>82500</v>
      </c>
      <c r="Z129" s="43">
        <f>D129</f>
        <v>41666.666666666664</v>
      </c>
      <c r="AA129" s="43"/>
      <c r="AB129" s="43"/>
      <c r="AC129" s="43"/>
      <c r="AD129" s="43">
        <f t="shared" ref="AD129:AD161" si="52">SUM(Z129:AC129)</f>
        <v>41666.666666666664</v>
      </c>
      <c r="AE129" s="43"/>
      <c r="AF129" s="43">
        <v>43400</v>
      </c>
      <c r="AG129" s="43"/>
      <c r="AH129" s="42">
        <f t="shared" ref="AH129:AH192" si="53">AE129+AF129+AG129</f>
        <v>43400</v>
      </c>
      <c r="AI129" s="41">
        <v>43400</v>
      </c>
      <c r="AJ129" s="40">
        <v>89150</v>
      </c>
      <c r="AK129" s="49"/>
      <c r="AL129" s="39">
        <f t="shared" si="28"/>
        <v>0</v>
      </c>
      <c r="AM129" s="49">
        <v>184800</v>
      </c>
      <c r="AN129" s="49">
        <f t="shared" si="29"/>
        <v>184800</v>
      </c>
    </row>
    <row r="130" spans="1:40" s="18" customFormat="1" ht="13.2" x14ac:dyDescent="0.25">
      <c r="A130" s="46">
        <v>26653</v>
      </c>
      <c r="B130" s="45" t="s">
        <v>174</v>
      </c>
      <c r="C130" s="43">
        <v>8103602.5999999996</v>
      </c>
      <c r="D130" s="43">
        <f>C130/12</f>
        <v>675300.21666666667</v>
      </c>
      <c r="E130" s="43"/>
      <c r="F130" s="43"/>
      <c r="G130" s="43">
        <f>C130*23.3/100</f>
        <v>1888139.4057999998</v>
      </c>
      <c r="H130" s="44">
        <f>(E130+F130)/(8725103.2+9421212.6)*100</f>
        <v>0</v>
      </c>
      <c r="I130" s="43"/>
      <c r="J130" s="43"/>
      <c r="K130" s="43"/>
      <c r="L130" s="43">
        <f t="shared" si="47"/>
        <v>0</v>
      </c>
      <c r="M130" s="47"/>
      <c r="N130" s="43">
        <f t="shared" si="49"/>
        <v>0</v>
      </c>
      <c r="O130" s="43"/>
      <c r="P130" s="43">
        <v>450549.90000000014</v>
      </c>
      <c r="Q130" s="44">
        <f t="shared" si="50"/>
        <v>1.838256628768951</v>
      </c>
      <c r="R130" s="43">
        <f>6201897*Q130/100-114006.8</f>
        <v>-1.7288077287958004E-2</v>
      </c>
      <c r="S130" s="43"/>
      <c r="T130" s="43"/>
      <c r="U130" s="43"/>
      <c r="V130" s="43"/>
      <c r="W130" s="43"/>
      <c r="X130" s="91">
        <f t="shared" si="51"/>
        <v>-1.7288077287958004E-2</v>
      </c>
      <c r="Y130" s="43">
        <v>101537</v>
      </c>
      <c r="Z130" s="43"/>
      <c r="AA130" s="43"/>
      <c r="AB130" s="43"/>
      <c r="AC130" s="43"/>
      <c r="AD130" s="43">
        <f t="shared" si="52"/>
        <v>0</v>
      </c>
      <c r="AE130" s="43"/>
      <c r="AF130" s="43"/>
      <c r="AG130" s="43"/>
      <c r="AH130" s="42">
        <f t="shared" si="53"/>
        <v>0</v>
      </c>
      <c r="AI130" s="41"/>
      <c r="AJ130" s="40">
        <v>0</v>
      </c>
      <c r="AK130" s="49"/>
      <c r="AL130" s="39">
        <f t="shared" ref="AL130:AL193" si="54">AK130</f>
        <v>0</v>
      </c>
      <c r="AM130" s="49"/>
      <c r="AN130" s="49">
        <f t="shared" ref="AN130:AN193" si="55">AK130+AM130</f>
        <v>0</v>
      </c>
    </row>
    <row r="131" spans="1:40" s="18" customFormat="1" ht="20.399999999999999" x14ac:dyDescent="0.25">
      <c r="A131" s="46">
        <v>26655</v>
      </c>
      <c r="B131" s="45" t="s">
        <v>324</v>
      </c>
      <c r="C131" s="43"/>
      <c r="D131" s="43"/>
      <c r="E131" s="43"/>
      <c r="F131" s="43"/>
      <c r="G131" s="43"/>
      <c r="H131" s="44"/>
      <c r="I131" s="43"/>
      <c r="J131" s="43"/>
      <c r="K131" s="43"/>
      <c r="L131" s="43"/>
      <c r="M131" s="43"/>
      <c r="N131" s="43"/>
      <c r="O131" s="43"/>
      <c r="P131" s="43"/>
      <c r="Q131" s="44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2"/>
      <c r="AI131" s="41"/>
      <c r="AJ131" s="40">
        <v>10000</v>
      </c>
      <c r="AK131" s="49"/>
      <c r="AL131" s="39">
        <f t="shared" si="54"/>
        <v>0</v>
      </c>
      <c r="AM131" s="49"/>
      <c r="AN131" s="49">
        <f t="shared" si="55"/>
        <v>0</v>
      </c>
    </row>
    <row r="132" spans="1:40" s="18" customFormat="1" ht="20.399999999999999" x14ac:dyDescent="0.25">
      <c r="A132" s="46">
        <v>26660</v>
      </c>
      <c r="B132" s="45" t="s">
        <v>173</v>
      </c>
      <c r="C132" s="43"/>
      <c r="D132" s="43"/>
      <c r="E132" s="43"/>
      <c r="F132" s="43"/>
      <c r="G132" s="43"/>
      <c r="H132" s="44"/>
      <c r="I132" s="43"/>
      <c r="J132" s="43"/>
      <c r="K132" s="43"/>
      <c r="L132" s="43"/>
      <c r="M132" s="43"/>
      <c r="N132" s="43"/>
      <c r="O132" s="43"/>
      <c r="P132" s="43"/>
      <c r="Q132" s="44"/>
      <c r="R132" s="43"/>
      <c r="S132" s="43"/>
      <c r="T132" s="43"/>
      <c r="U132" s="43">
        <f>31045.4+20000</f>
        <v>51045.4</v>
      </c>
      <c r="V132" s="43"/>
      <c r="W132" s="43"/>
      <c r="X132" s="43">
        <f t="shared" si="51"/>
        <v>51045.4</v>
      </c>
      <c r="Y132" s="43"/>
      <c r="Z132" s="43">
        <f t="shared" ref="Z132:Z165" si="56">Y132</f>
        <v>0</v>
      </c>
      <c r="AA132" s="43">
        <f>31045.4+20000</f>
        <v>51045.4</v>
      </c>
      <c r="AB132" s="43"/>
      <c r="AC132" s="43"/>
      <c r="AD132" s="43">
        <f t="shared" si="52"/>
        <v>51045.4</v>
      </c>
      <c r="AE132" s="43"/>
      <c r="AF132" s="43"/>
      <c r="AG132" s="43"/>
      <c r="AH132" s="42">
        <f t="shared" si="53"/>
        <v>0</v>
      </c>
      <c r="AI132" s="41"/>
      <c r="AJ132" s="40">
        <v>10000</v>
      </c>
      <c r="AK132" s="49"/>
      <c r="AL132" s="39">
        <f t="shared" si="54"/>
        <v>0</v>
      </c>
      <c r="AM132" s="49"/>
      <c r="AN132" s="49">
        <f t="shared" si="55"/>
        <v>0</v>
      </c>
    </row>
    <row r="133" spans="1:40" s="18" customFormat="1" ht="20.399999999999999" x14ac:dyDescent="0.25">
      <c r="A133" s="46">
        <v>26720</v>
      </c>
      <c r="B133" s="45" t="s">
        <v>172</v>
      </c>
      <c r="C133" s="43">
        <v>174147.1</v>
      </c>
      <c r="D133" s="43">
        <f t="shared" ref="D133:D163" si="57">C133/12</f>
        <v>14512.258333333333</v>
      </c>
      <c r="E133" s="43">
        <v>9776.5</v>
      </c>
      <c r="F133" s="43">
        <v>10259.700000000001</v>
      </c>
      <c r="G133" s="43">
        <f t="shared" ref="G133:G163" si="58">C133*23.3/100</f>
        <v>40576.274300000005</v>
      </c>
      <c r="H133" s="44">
        <f t="shared" ref="H133:H140" si="59">(E133+F133)/(8725103.2+9421212.6)*100</f>
        <v>0.1104146991644442</v>
      </c>
      <c r="I133" s="43">
        <v>18482.7</v>
      </c>
      <c r="J133" s="43"/>
      <c r="K133" s="43">
        <v>-336.8</v>
      </c>
      <c r="L133" s="43">
        <f t="shared" ref="L133:L163" si="60">SUM(I133:K133)</f>
        <v>18145.900000000001</v>
      </c>
      <c r="M133" s="43">
        <v>18143.5</v>
      </c>
      <c r="N133" s="43">
        <f t="shared" ref="N133:N163" si="61">M133-L133</f>
        <v>-2.4000000000014552</v>
      </c>
      <c r="O133" s="43">
        <f t="shared" ref="O133:O140" si="62">M133/L133*100</f>
        <v>99.986773871783697</v>
      </c>
      <c r="P133" s="43">
        <v>46804.399999999994</v>
      </c>
      <c r="Q133" s="44">
        <f t="shared" ref="Q133:Q163" si="63">P133/24509630.1*100</f>
        <v>0.19096330629649114</v>
      </c>
      <c r="R133" s="43">
        <f t="shared" ref="R133:R140" si="64">6201897*Q133/100</f>
        <v>11843.347564302894</v>
      </c>
      <c r="S133" s="43">
        <v>3758.1</v>
      </c>
      <c r="T133" s="43"/>
      <c r="U133" s="43"/>
      <c r="V133" s="43"/>
      <c r="W133" s="43"/>
      <c r="X133" s="43">
        <f t="shared" si="51"/>
        <v>15601.447564302895</v>
      </c>
      <c r="Y133" s="43">
        <v>10827</v>
      </c>
      <c r="Z133" s="43">
        <f t="shared" si="56"/>
        <v>10827</v>
      </c>
      <c r="AA133" s="43"/>
      <c r="AB133" s="43"/>
      <c r="AC133" s="43">
        <v>5149.8999999999996</v>
      </c>
      <c r="AD133" s="43">
        <f t="shared" si="52"/>
        <v>15976.9</v>
      </c>
      <c r="AE133" s="43">
        <v>11706.599999999999</v>
      </c>
      <c r="AF133" s="43"/>
      <c r="AG133" s="43"/>
      <c r="AH133" s="42">
        <f t="shared" si="53"/>
        <v>11706.599999999999</v>
      </c>
      <c r="AI133" s="41">
        <f>13500+2000+2500</f>
        <v>18000</v>
      </c>
      <c r="AJ133" s="40">
        <v>17615</v>
      </c>
      <c r="AK133" s="49">
        <f>18000-6000</f>
        <v>12000</v>
      </c>
      <c r="AL133" s="39">
        <f t="shared" si="54"/>
        <v>12000</v>
      </c>
      <c r="AM133" s="49"/>
      <c r="AN133" s="49">
        <f t="shared" si="55"/>
        <v>12000</v>
      </c>
    </row>
    <row r="134" spans="1:40" s="18" customFormat="1" ht="20.399999999999999" x14ac:dyDescent="0.25">
      <c r="A134" s="46">
        <v>26730</v>
      </c>
      <c r="B134" s="45" t="s">
        <v>171</v>
      </c>
      <c r="C134" s="43">
        <v>307240.40000000002</v>
      </c>
      <c r="D134" s="43">
        <f t="shared" si="57"/>
        <v>25603.366666666669</v>
      </c>
      <c r="E134" s="43">
        <v>19599.2</v>
      </c>
      <c r="F134" s="43">
        <v>22754.9</v>
      </c>
      <c r="G134" s="43">
        <f t="shared" si="58"/>
        <v>71587.013200000001</v>
      </c>
      <c r="H134" s="44">
        <f t="shared" si="59"/>
        <v>0.23340330052009792</v>
      </c>
      <c r="I134" s="43">
        <v>25366.2</v>
      </c>
      <c r="J134" s="43"/>
      <c r="K134" s="43"/>
      <c r="L134" s="43">
        <f t="shared" si="60"/>
        <v>25366.2</v>
      </c>
      <c r="M134" s="43">
        <v>25366.2</v>
      </c>
      <c r="N134" s="43">
        <f t="shared" si="61"/>
        <v>0</v>
      </c>
      <c r="O134" s="43">
        <f t="shared" si="62"/>
        <v>100</v>
      </c>
      <c r="P134" s="43">
        <v>86287.8</v>
      </c>
      <c r="Q134" s="44">
        <f t="shared" si="63"/>
        <v>0.35205672075809907</v>
      </c>
      <c r="R134" s="43">
        <f t="shared" si="64"/>
        <v>21834.195202994924</v>
      </c>
      <c r="S134" s="43">
        <v>3000</v>
      </c>
      <c r="T134" s="43">
        <v>2050</v>
      </c>
      <c r="U134" s="43"/>
      <c r="V134" s="43"/>
      <c r="W134" s="43"/>
      <c r="X134" s="43">
        <f t="shared" si="51"/>
        <v>26884.195202994924</v>
      </c>
      <c r="Y134" s="43">
        <v>20361</v>
      </c>
      <c r="Z134" s="43">
        <f t="shared" si="56"/>
        <v>20361</v>
      </c>
      <c r="AA134" s="43"/>
      <c r="AB134" s="43"/>
      <c r="AC134" s="43">
        <v>3500</v>
      </c>
      <c r="AD134" s="43">
        <f t="shared" si="52"/>
        <v>23861</v>
      </c>
      <c r="AE134" s="43">
        <v>21234.199999999997</v>
      </c>
      <c r="AF134" s="43"/>
      <c r="AG134" s="43"/>
      <c r="AH134" s="42">
        <f t="shared" si="53"/>
        <v>21234.199999999997</v>
      </c>
      <c r="AI134" s="41">
        <f>24955.8+1000</f>
        <v>25955.8</v>
      </c>
      <c r="AJ134" s="40">
        <v>31487.8</v>
      </c>
      <c r="AK134" s="49">
        <f>30000-8000</f>
        <v>22000</v>
      </c>
      <c r="AL134" s="39">
        <f t="shared" si="54"/>
        <v>22000</v>
      </c>
      <c r="AM134" s="49"/>
      <c r="AN134" s="49">
        <f t="shared" si="55"/>
        <v>22000</v>
      </c>
    </row>
    <row r="135" spans="1:40" s="18" customFormat="1" ht="14.25" customHeight="1" x14ac:dyDescent="0.25">
      <c r="A135" s="46">
        <v>28230</v>
      </c>
      <c r="B135" s="45" t="s">
        <v>170</v>
      </c>
      <c r="C135" s="43">
        <v>27036.6</v>
      </c>
      <c r="D135" s="43">
        <f t="shared" si="57"/>
        <v>2253.0499999999997</v>
      </c>
      <c r="E135" s="43">
        <v>1756.3</v>
      </c>
      <c r="F135" s="43">
        <v>2086.6</v>
      </c>
      <c r="G135" s="43">
        <f t="shared" si="58"/>
        <v>6299.5277999999998</v>
      </c>
      <c r="H135" s="44">
        <f t="shared" si="59"/>
        <v>2.1177301455318001E-2</v>
      </c>
      <c r="I135" s="43">
        <v>1980.8</v>
      </c>
      <c r="J135" s="43"/>
      <c r="K135" s="43"/>
      <c r="L135" s="43">
        <f t="shared" si="60"/>
        <v>1980.8</v>
      </c>
      <c r="M135" s="43">
        <v>1371.4</v>
      </c>
      <c r="N135" s="43">
        <f t="shared" si="61"/>
        <v>-609.39999999999986</v>
      </c>
      <c r="O135" s="43">
        <f t="shared" si="62"/>
        <v>69.234652665589664</v>
      </c>
      <c r="P135" s="43">
        <v>7182.4000000000005</v>
      </c>
      <c r="Q135" s="44">
        <f t="shared" si="63"/>
        <v>2.9304399824459201E-2</v>
      </c>
      <c r="R135" s="43">
        <f t="shared" si="64"/>
        <v>1817.4286935811406</v>
      </c>
      <c r="S135" s="43"/>
      <c r="T135" s="43"/>
      <c r="U135" s="43"/>
      <c r="V135" s="43"/>
      <c r="W135" s="43"/>
      <c r="X135" s="43">
        <f t="shared" si="51"/>
        <v>1817.4286935811406</v>
      </c>
      <c r="Y135" s="43">
        <v>1595</v>
      </c>
      <c r="Z135" s="43">
        <f t="shared" si="56"/>
        <v>1595</v>
      </c>
      <c r="AA135" s="43"/>
      <c r="AB135" s="43"/>
      <c r="AC135" s="43">
        <v>350</v>
      </c>
      <c r="AD135" s="43">
        <f t="shared" si="52"/>
        <v>1945</v>
      </c>
      <c r="AE135" s="43">
        <v>2146.7000000000003</v>
      </c>
      <c r="AF135" s="43"/>
      <c r="AG135" s="43"/>
      <c r="AH135" s="42">
        <f t="shared" si="53"/>
        <v>2146.7000000000003</v>
      </c>
      <c r="AI135" s="41">
        <v>2312.5</v>
      </c>
      <c r="AJ135" s="40">
        <v>1815.5</v>
      </c>
      <c r="AK135" s="49">
        <f>2307.8-700</f>
        <v>1607.8000000000002</v>
      </c>
      <c r="AL135" s="39">
        <f t="shared" si="54"/>
        <v>1607.8000000000002</v>
      </c>
      <c r="AM135" s="49"/>
      <c r="AN135" s="49">
        <f t="shared" si="55"/>
        <v>1607.8000000000002</v>
      </c>
    </row>
    <row r="136" spans="1:40" s="18" customFormat="1" ht="13.2" x14ac:dyDescent="0.25">
      <c r="A136" s="46">
        <v>28240</v>
      </c>
      <c r="B136" s="45" t="s">
        <v>169</v>
      </c>
      <c r="C136" s="43">
        <v>11009.9</v>
      </c>
      <c r="D136" s="43">
        <f t="shared" si="57"/>
        <v>917.49166666666667</v>
      </c>
      <c r="E136" s="43">
        <v>909.6</v>
      </c>
      <c r="F136" s="43">
        <v>868</v>
      </c>
      <c r="G136" s="43">
        <f t="shared" si="58"/>
        <v>2565.3067000000001</v>
      </c>
      <c r="H136" s="44">
        <f t="shared" si="59"/>
        <v>9.7959278323592278E-3</v>
      </c>
      <c r="I136" s="43">
        <v>788.7</v>
      </c>
      <c r="J136" s="43"/>
      <c r="K136" s="43"/>
      <c r="L136" s="43">
        <f t="shared" si="60"/>
        <v>788.7</v>
      </c>
      <c r="M136" s="43">
        <v>155.9</v>
      </c>
      <c r="N136" s="43">
        <f t="shared" si="61"/>
        <v>-632.80000000000007</v>
      </c>
      <c r="O136" s="43">
        <f t="shared" si="62"/>
        <v>19.766704703943198</v>
      </c>
      <c r="P136" s="43">
        <v>2875.0999999999995</v>
      </c>
      <c r="Q136" s="44">
        <f t="shared" si="63"/>
        <v>1.1730491191705088E-2</v>
      </c>
      <c r="R136" s="43">
        <f t="shared" si="64"/>
        <v>727.51298130362204</v>
      </c>
      <c r="S136" s="43"/>
      <c r="T136" s="43"/>
      <c r="U136" s="43"/>
      <c r="V136" s="43"/>
      <c r="W136" s="43"/>
      <c r="X136" s="43">
        <f t="shared" si="51"/>
        <v>727.51298130362204</v>
      </c>
      <c r="Y136" s="43">
        <v>781</v>
      </c>
      <c r="Z136" s="43">
        <f t="shared" si="56"/>
        <v>781</v>
      </c>
      <c r="AA136" s="43"/>
      <c r="AB136" s="43"/>
      <c r="AC136" s="43"/>
      <c r="AD136" s="43">
        <f t="shared" si="52"/>
        <v>781</v>
      </c>
      <c r="AE136" s="43">
        <f>1808.3-800</f>
        <v>1008.3</v>
      </c>
      <c r="AF136" s="43"/>
      <c r="AG136" s="43"/>
      <c r="AH136" s="42">
        <f t="shared" si="53"/>
        <v>1008.3</v>
      </c>
      <c r="AI136" s="41">
        <v>1001.7</v>
      </c>
      <c r="AJ136" s="40">
        <v>802.7</v>
      </c>
      <c r="AK136" s="49">
        <f>1056.26666666667-200</f>
        <v>856.26666666667006</v>
      </c>
      <c r="AL136" s="39">
        <f t="shared" si="54"/>
        <v>856.26666666667006</v>
      </c>
      <c r="AM136" s="49"/>
      <c r="AN136" s="49">
        <f t="shared" si="55"/>
        <v>856.26666666667006</v>
      </c>
    </row>
    <row r="137" spans="1:40" s="18" customFormat="1" ht="20.399999999999999" x14ac:dyDescent="0.25">
      <c r="A137" s="46">
        <v>28250</v>
      </c>
      <c r="B137" s="45" t="s">
        <v>168</v>
      </c>
      <c r="C137" s="43">
        <v>11518.8</v>
      </c>
      <c r="D137" s="43">
        <f t="shared" si="57"/>
        <v>959.9</v>
      </c>
      <c r="E137" s="43">
        <v>953.2</v>
      </c>
      <c r="F137" s="43">
        <v>937.6</v>
      </c>
      <c r="G137" s="43">
        <f t="shared" si="58"/>
        <v>2683.8804</v>
      </c>
      <c r="H137" s="44">
        <f t="shared" si="59"/>
        <v>1.0419745918893357E-2</v>
      </c>
      <c r="I137" s="43">
        <v>884.9</v>
      </c>
      <c r="J137" s="43"/>
      <c r="K137" s="43"/>
      <c r="L137" s="43">
        <f t="shared" si="60"/>
        <v>884.9</v>
      </c>
      <c r="M137" s="43">
        <v>699.7</v>
      </c>
      <c r="N137" s="43">
        <f t="shared" si="61"/>
        <v>-185.19999999999993</v>
      </c>
      <c r="O137" s="43">
        <f t="shared" si="62"/>
        <v>79.071081478133138</v>
      </c>
      <c r="P137" s="43">
        <v>2996.7</v>
      </c>
      <c r="Q137" s="44">
        <f t="shared" si="63"/>
        <v>1.2226622710230129E-2</v>
      </c>
      <c r="R137" s="43">
        <f t="shared" si="64"/>
        <v>758.28254706708105</v>
      </c>
      <c r="S137" s="43"/>
      <c r="T137" s="43"/>
      <c r="U137" s="43"/>
      <c r="V137" s="43"/>
      <c r="W137" s="43"/>
      <c r="X137" s="43">
        <f t="shared" si="51"/>
        <v>758.28254706708105</v>
      </c>
      <c r="Y137" s="43">
        <v>886</v>
      </c>
      <c r="Z137" s="43">
        <f t="shared" si="56"/>
        <v>886</v>
      </c>
      <c r="AA137" s="43"/>
      <c r="AB137" s="43"/>
      <c r="AC137" s="43"/>
      <c r="AD137" s="43">
        <f t="shared" si="52"/>
        <v>886</v>
      </c>
      <c r="AE137" s="43">
        <v>1141.5999999999999</v>
      </c>
      <c r="AF137" s="43"/>
      <c r="AG137" s="43"/>
      <c r="AH137" s="42">
        <f t="shared" si="53"/>
        <v>1141.5999999999999</v>
      </c>
      <c r="AI137" s="41">
        <v>960.9</v>
      </c>
      <c r="AJ137" s="40">
        <v>1018.4</v>
      </c>
      <c r="AK137" s="49">
        <v>956.26666666666665</v>
      </c>
      <c r="AL137" s="39">
        <f t="shared" si="54"/>
        <v>956.26666666666665</v>
      </c>
      <c r="AM137" s="49"/>
      <c r="AN137" s="49">
        <f t="shared" si="55"/>
        <v>956.26666666666665</v>
      </c>
    </row>
    <row r="138" spans="1:40" s="18" customFormat="1" ht="13.5" customHeight="1" x14ac:dyDescent="0.25">
      <c r="A138" s="46">
        <v>28260</v>
      </c>
      <c r="B138" s="45" t="s">
        <v>167</v>
      </c>
      <c r="C138" s="43">
        <v>17027.900000000001</v>
      </c>
      <c r="D138" s="43">
        <f t="shared" si="57"/>
        <v>1418.9916666666668</v>
      </c>
      <c r="E138" s="43">
        <v>1179.3</v>
      </c>
      <c r="F138" s="43">
        <v>1249.2</v>
      </c>
      <c r="G138" s="43">
        <f t="shared" si="58"/>
        <v>3967.5007000000005</v>
      </c>
      <c r="H138" s="44">
        <f t="shared" si="59"/>
        <v>1.338288182993046E-2</v>
      </c>
      <c r="I138" s="43">
        <v>1401.1</v>
      </c>
      <c r="J138" s="43"/>
      <c r="K138" s="43"/>
      <c r="L138" s="43">
        <f t="shared" si="60"/>
        <v>1401.1</v>
      </c>
      <c r="M138" s="43">
        <v>1401.1</v>
      </c>
      <c r="N138" s="43">
        <f t="shared" si="61"/>
        <v>0</v>
      </c>
      <c r="O138" s="43">
        <f t="shared" si="62"/>
        <v>100</v>
      </c>
      <c r="P138" s="43">
        <v>4561.2999999999993</v>
      </c>
      <c r="Q138" s="44">
        <f t="shared" si="63"/>
        <v>1.8610235982304765E-2</v>
      </c>
      <c r="R138" s="43">
        <f t="shared" si="64"/>
        <v>1154.1876670794798</v>
      </c>
      <c r="S138" s="43"/>
      <c r="T138" s="43"/>
      <c r="U138" s="43"/>
      <c r="V138" s="43"/>
      <c r="W138" s="43"/>
      <c r="X138" s="43">
        <f t="shared" si="51"/>
        <v>1154.1876670794798</v>
      </c>
      <c r="Y138" s="43">
        <v>1100</v>
      </c>
      <c r="Z138" s="43">
        <f t="shared" si="56"/>
        <v>1100</v>
      </c>
      <c r="AA138" s="43"/>
      <c r="AB138" s="43"/>
      <c r="AC138" s="43"/>
      <c r="AD138" s="43">
        <f t="shared" si="52"/>
        <v>1100</v>
      </c>
      <c r="AE138" s="43">
        <v>1437.4999999999998</v>
      </c>
      <c r="AF138" s="43">
        <v>200</v>
      </c>
      <c r="AG138" s="43"/>
      <c r="AH138" s="42">
        <f t="shared" si="53"/>
        <v>1637.4999999999998</v>
      </c>
      <c r="AI138" s="41">
        <v>1380.7</v>
      </c>
      <c r="AJ138" s="40">
        <v>1766.8000000000002</v>
      </c>
      <c r="AK138" s="49">
        <f>1853.7-500</f>
        <v>1353.7</v>
      </c>
      <c r="AL138" s="39">
        <f t="shared" si="54"/>
        <v>1353.7</v>
      </c>
      <c r="AM138" s="49"/>
      <c r="AN138" s="49">
        <f t="shared" si="55"/>
        <v>1353.7</v>
      </c>
    </row>
    <row r="139" spans="1:40" s="18" customFormat="1" ht="13.2" x14ac:dyDescent="0.25">
      <c r="A139" s="46">
        <v>28270</v>
      </c>
      <c r="B139" s="45" t="s">
        <v>166</v>
      </c>
      <c r="C139" s="43">
        <v>6466</v>
      </c>
      <c r="D139" s="43">
        <f t="shared" si="57"/>
        <v>538.83333333333337</v>
      </c>
      <c r="E139" s="43">
        <v>508</v>
      </c>
      <c r="F139" s="43">
        <v>503.9</v>
      </c>
      <c r="G139" s="43">
        <f t="shared" si="58"/>
        <v>1506.5780000000002</v>
      </c>
      <c r="H139" s="44">
        <f t="shared" si="59"/>
        <v>5.5763385314830686E-3</v>
      </c>
      <c r="I139" s="43">
        <v>459.3</v>
      </c>
      <c r="J139" s="43"/>
      <c r="K139" s="43"/>
      <c r="L139" s="43">
        <f t="shared" si="60"/>
        <v>459.3</v>
      </c>
      <c r="M139" s="43">
        <v>459.3</v>
      </c>
      <c r="N139" s="43">
        <f t="shared" si="61"/>
        <v>0</v>
      </c>
      <c r="O139" s="43">
        <f t="shared" si="62"/>
        <v>100</v>
      </c>
      <c r="P139" s="43">
        <v>1704.8999999999999</v>
      </c>
      <c r="Q139" s="44">
        <f t="shared" si="63"/>
        <v>6.9560413316886406E-3</v>
      </c>
      <c r="R139" s="43">
        <f t="shared" si="64"/>
        <v>431.40651866875783</v>
      </c>
      <c r="S139" s="43"/>
      <c r="T139" s="43"/>
      <c r="U139" s="43"/>
      <c r="V139" s="43"/>
      <c r="W139" s="43"/>
      <c r="X139" s="43">
        <f t="shared" si="51"/>
        <v>431.40651866875783</v>
      </c>
      <c r="Y139" s="43">
        <v>487.267</v>
      </c>
      <c r="Z139" s="43">
        <f t="shared" si="56"/>
        <v>487.267</v>
      </c>
      <c r="AA139" s="43"/>
      <c r="AB139" s="43"/>
      <c r="AC139" s="43"/>
      <c r="AD139" s="43">
        <f t="shared" si="52"/>
        <v>487.267</v>
      </c>
      <c r="AE139" s="43">
        <v>614.6</v>
      </c>
      <c r="AF139" s="43"/>
      <c r="AG139" s="43"/>
      <c r="AH139" s="42">
        <f t="shared" si="53"/>
        <v>614.6</v>
      </c>
      <c r="AI139" s="41">
        <v>538.79999999999995</v>
      </c>
      <c r="AJ139" s="40">
        <v>534.29999999999995</v>
      </c>
      <c r="AK139" s="49">
        <v>525.4</v>
      </c>
      <c r="AL139" s="39">
        <f t="shared" si="54"/>
        <v>525.4</v>
      </c>
      <c r="AM139" s="49"/>
      <c r="AN139" s="49">
        <f t="shared" si="55"/>
        <v>525.4</v>
      </c>
    </row>
    <row r="140" spans="1:40" s="18" customFormat="1" ht="20.399999999999999" x14ac:dyDescent="0.25">
      <c r="A140" s="46">
        <v>28320</v>
      </c>
      <c r="B140" s="45" t="s">
        <v>165</v>
      </c>
      <c r="C140" s="43">
        <v>2533.6999999999998</v>
      </c>
      <c r="D140" s="43">
        <f t="shared" si="57"/>
        <v>211.14166666666665</v>
      </c>
      <c r="E140" s="43">
        <v>196.8</v>
      </c>
      <c r="F140" s="43">
        <v>212.5</v>
      </c>
      <c r="G140" s="43">
        <f t="shared" si="58"/>
        <v>590.35209999999995</v>
      </c>
      <c r="H140" s="44">
        <f t="shared" si="59"/>
        <v>2.2555542651803736E-3</v>
      </c>
      <c r="I140" s="43">
        <v>151.80000000000001</v>
      </c>
      <c r="J140" s="43"/>
      <c r="K140" s="43"/>
      <c r="L140" s="43">
        <f t="shared" si="60"/>
        <v>151.80000000000001</v>
      </c>
      <c r="M140" s="43">
        <v>151.80000000000001</v>
      </c>
      <c r="N140" s="43">
        <f t="shared" si="61"/>
        <v>0</v>
      </c>
      <c r="O140" s="43">
        <f t="shared" si="62"/>
        <v>100</v>
      </c>
      <c r="P140" s="43">
        <v>646.80000000000007</v>
      </c>
      <c r="Q140" s="44">
        <f t="shared" si="63"/>
        <v>2.6389627153124598E-3</v>
      </c>
      <c r="R140" s="43">
        <f t="shared" si="64"/>
        <v>163.66574947208198</v>
      </c>
      <c r="S140" s="43"/>
      <c r="T140" s="43"/>
      <c r="U140" s="43"/>
      <c r="V140" s="43"/>
      <c r="W140" s="43"/>
      <c r="X140" s="43">
        <f t="shared" si="51"/>
        <v>163.66574947208198</v>
      </c>
      <c r="Y140" s="43">
        <v>160</v>
      </c>
      <c r="Z140" s="43">
        <f t="shared" si="56"/>
        <v>160</v>
      </c>
      <c r="AA140" s="43"/>
      <c r="AB140" s="43"/>
      <c r="AC140" s="43"/>
      <c r="AD140" s="43">
        <f t="shared" si="52"/>
        <v>160</v>
      </c>
      <c r="AE140" s="43">
        <v>253.1</v>
      </c>
      <c r="AF140" s="43">
        <f>323.1-AE140</f>
        <v>70.000000000000028</v>
      </c>
      <c r="AG140" s="43"/>
      <c r="AH140" s="42">
        <f t="shared" si="53"/>
        <v>323.10000000000002</v>
      </c>
      <c r="AI140" s="41">
        <v>201.6</v>
      </c>
      <c r="AJ140" s="40">
        <v>201.6</v>
      </c>
      <c r="AK140" s="49">
        <v>248.1</v>
      </c>
      <c r="AL140" s="39">
        <f t="shared" si="54"/>
        <v>248.1</v>
      </c>
      <c r="AM140" s="49"/>
      <c r="AN140" s="49">
        <f t="shared" si="55"/>
        <v>248.1</v>
      </c>
    </row>
    <row r="141" spans="1:40" s="18" customFormat="1" ht="20.399999999999999" x14ac:dyDescent="0.25">
      <c r="A141" s="46">
        <v>28421</v>
      </c>
      <c r="B141" s="45" t="s">
        <v>164</v>
      </c>
      <c r="C141" s="43">
        <v>1137723.3999999999</v>
      </c>
      <c r="D141" s="43">
        <f t="shared" si="57"/>
        <v>94810.283333333326</v>
      </c>
      <c r="E141" s="43">
        <v>320000</v>
      </c>
      <c r="F141" s="43">
        <v>170000</v>
      </c>
      <c r="G141" s="43">
        <f t="shared" si="58"/>
        <v>265089.55219999998</v>
      </c>
      <c r="H141" s="44">
        <f>(E141+F141)/(8725103.2+9421212.6)*100-0.3461</f>
        <v>2.3541726360576183</v>
      </c>
      <c r="I141" s="43"/>
      <c r="J141" s="43"/>
      <c r="K141" s="43"/>
      <c r="L141" s="43">
        <f t="shared" si="60"/>
        <v>0</v>
      </c>
      <c r="M141" s="47"/>
      <c r="N141" s="43">
        <f t="shared" si="61"/>
        <v>0</v>
      </c>
      <c r="O141" s="43"/>
      <c r="P141" s="43">
        <v>293532.60000000003</v>
      </c>
      <c r="Q141" s="44">
        <f t="shared" si="63"/>
        <v>1.1976215014358784</v>
      </c>
      <c r="R141" s="43">
        <f>6201897*Q141/100+125724.7</f>
        <v>199999.95196890668</v>
      </c>
      <c r="S141" s="43">
        <f>15408.1+4591.9</f>
        <v>20000</v>
      </c>
      <c r="T141" s="43">
        <v>41369</v>
      </c>
      <c r="U141" s="43"/>
      <c r="V141" s="43"/>
      <c r="W141" s="43"/>
      <c r="X141" s="43">
        <f t="shared" si="51"/>
        <v>261368.95196890668</v>
      </c>
      <c r="Y141" s="43"/>
      <c r="Z141" s="43">
        <f t="shared" si="56"/>
        <v>0</v>
      </c>
      <c r="AA141" s="43"/>
      <c r="AB141" s="43"/>
      <c r="AC141" s="43"/>
      <c r="AD141" s="43">
        <f t="shared" si="52"/>
        <v>0</v>
      </c>
      <c r="AE141" s="43"/>
      <c r="AF141" s="43">
        <v>34797.800000000003</v>
      </c>
      <c r="AG141" s="43"/>
      <c r="AH141" s="42">
        <f t="shared" si="53"/>
        <v>34797.800000000003</v>
      </c>
      <c r="AI141" s="41">
        <v>200000</v>
      </c>
      <c r="AJ141" s="40">
        <v>200000</v>
      </c>
      <c r="AK141" s="49">
        <v>4790.2</v>
      </c>
      <c r="AL141" s="39">
        <f t="shared" si="54"/>
        <v>4790.2</v>
      </c>
      <c r="AM141" s="49">
        <v>146766.39999999999</v>
      </c>
      <c r="AN141" s="49">
        <f t="shared" si="55"/>
        <v>151556.6</v>
      </c>
    </row>
    <row r="142" spans="1:40" s="18" customFormat="1" ht="30.6" x14ac:dyDescent="0.25">
      <c r="A142" s="46">
        <v>28430</v>
      </c>
      <c r="B142" s="45" t="s">
        <v>163</v>
      </c>
      <c r="C142" s="43">
        <v>12267.1</v>
      </c>
      <c r="D142" s="43">
        <f t="shared" si="57"/>
        <v>1022.2583333333333</v>
      </c>
      <c r="E142" s="43">
        <v>629</v>
      </c>
      <c r="F142" s="43">
        <v>732.2</v>
      </c>
      <c r="G142" s="43">
        <f t="shared" si="58"/>
        <v>2858.2343000000001</v>
      </c>
      <c r="H142" s="44">
        <f t="shared" ref="H142:H163" si="65">(E142+F142)/(8725103.2+9421212.6)*100</f>
        <v>7.5012471677584286E-3</v>
      </c>
      <c r="I142" s="43">
        <v>1475.2</v>
      </c>
      <c r="J142" s="43"/>
      <c r="K142" s="43"/>
      <c r="L142" s="43">
        <f t="shared" si="60"/>
        <v>1475.2</v>
      </c>
      <c r="M142" s="43">
        <v>1419.9</v>
      </c>
      <c r="N142" s="43">
        <f t="shared" si="61"/>
        <v>-55.299999999999955</v>
      </c>
      <c r="O142" s="43">
        <f t="shared" ref="O142:O163" si="66">M142/L142*100</f>
        <v>96.251355748373101</v>
      </c>
      <c r="P142" s="43">
        <v>3315.4999999999995</v>
      </c>
      <c r="Q142" s="44">
        <f t="shared" si="63"/>
        <v>1.352733593478426E-2</v>
      </c>
      <c r="R142" s="43">
        <f>6201897*Q142/100</f>
        <v>838.95144151930697</v>
      </c>
      <c r="S142" s="43"/>
      <c r="T142" s="43"/>
      <c r="U142" s="43"/>
      <c r="V142" s="43"/>
      <c r="W142" s="43"/>
      <c r="X142" s="43">
        <f t="shared" si="51"/>
        <v>838.95144151930697</v>
      </c>
      <c r="Y142" s="43">
        <v>954</v>
      </c>
      <c r="Z142" s="43">
        <f t="shared" si="56"/>
        <v>954</v>
      </c>
      <c r="AA142" s="43"/>
      <c r="AB142" s="43"/>
      <c r="AC142" s="43"/>
      <c r="AD142" s="43">
        <f t="shared" si="52"/>
        <v>954</v>
      </c>
      <c r="AE142" s="43">
        <f>1459.7-400</f>
        <v>1059.7</v>
      </c>
      <c r="AF142" s="43">
        <v>150</v>
      </c>
      <c r="AG142" s="43"/>
      <c r="AH142" s="42">
        <f t="shared" si="53"/>
        <v>1209.7</v>
      </c>
      <c r="AI142" s="41">
        <v>1020.4</v>
      </c>
      <c r="AJ142" s="40">
        <v>1097.7</v>
      </c>
      <c r="AK142" s="49">
        <f>1888.9-800</f>
        <v>1088.9000000000001</v>
      </c>
      <c r="AL142" s="39">
        <f t="shared" si="54"/>
        <v>1088.9000000000001</v>
      </c>
      <c r="AM142" s="49">
        <v>113.3</v>
      </c>
      <c r="AN142" s="49">
        <f t="shared" si="55"/>
        <v>1202.2</v>
      </c>
    </row>
    <row r="143" spans="1:40" s="18" customFormat="1" ht="13.2" x14ac:dyDescent="0.25">
      <c r="A143" s="46">
        <v>28110</v>
      </c>
      <c r="B143" s="45" t="s">
        <v>162</v>
      </c>
      <c r="C143" s="43">
        <v>188679.3</v>
      </c>
      <c r="D143" s="43">
        <f t="shared" si="57"/>
        <v>15723.275</v>
      </c>
      <c r="E143" s="43">
        <v>12818.8</v>
      </c>
      <c r="F143" s="43">
        <v>12510.8</v>
      </c>
      <c r="G143" s="43">
        <f t="shared" si="58"/>
        <v>43962.276899999997</v>
      </c>
      <c r="H143" s="44">
        <f t="shared" si="65"/>
        <v>0.13958535869854091</v>
      </c>
      <c r="I143" s="43">
        <v>15317.4</v>
      </c>
      <c r="J143" s="43"/>
      <c r="K143" s="43"/>
      <c r="L143" s="43">
        <f t="shared" si="60"/>
        <v>15317.4</v>
      </c>
      <c r="M143" s="43">
        <v>15317.4</v>
      </c>
      <c r="N143" s="43">
        <f t="shared" si="61"/>
        <v>0</v>
      </c>
      <c r="O143" s="43">
        <f t="shared" si="66"/>
        <v>100</v>
      </c>
      <c r="P143" s="43">
        <v>51262.5</v>
      </c>
      <c r="Q143" s="44">
        <f t="shared" si="63"/>
        <v>0.2091524832926793</v>
      </c>
      <c r="R143" s="43">
        <f>6201897*Q143/100</f>
        <v>12971.421586754177</v>
      </c>
      <c r="S143" s="43"/>
      <c r="T143" s="43"/>
      <c r="U143" s="43"/>
      <c r="V143" s="43"/>
      <c r="W143" s="43"/>
      <c r="X143" s="43">
        <f t="shared" si="51"/>
        <v>12971.421586754177</v>
      </c>
      <c r="Y143" s="43">
        <v>11127</v>
      </c>
      <c r="Z143" s="43">
        <f t="shared" si="56"/>
        <v>11127</v>
      </c>
      <c r="AA143" s="43"/>
      <c r="AB143" s="43"/>
      <c r="AC143" s="43"/>
      <c r="AD143" s="43">
        <f t="shared" si="52"/>
        <v>11127</v>
      </c>
      <c r="AE143" s="42">
        <f>15562.7</f>
        <v>15562.7</v>
      </c>
      <c r="AF143" s="42">
        <v>-900</v>
      </c>
      <c r="AG143" s="42"/>
      <c r="AH143" s="42">
        <f t="shared" si="53"/>
        <v>14662.7</v>
      </c>
      <c r="AI143" s="41">
        <v>14819.3</v>
      </c>
      <c r="AJ143" s="40">
        <v>15750</v>
      </c>
      <c r="AK143" s="49">
        <f>15390.3846153846-2000</f>
        <v>13390.384615384601</v>
      </c>
      <c r="AL143" s="39">
        <f t="shared" si="54"/>
        <v>13390.384615384601</v>
      </c>
      <c r="AM143" s="49"/>
      <c r="AN143" s="49">
        <f t="shared" si="55"/>
        <v>13390.384615384601</v>
      </c>
    </row>
    <row r="144" spans="1:40" s="18" customFormat="1" ht="13.2" x14ac:dyDescent="0.25">
      <c r="A144" s="46">
        <v>28120</v>
      </c>
      <c r="B144" s="45" t="s">
        <v>161</v>
      </c>
      <c r="C144" s="43">
        <f>75285.4+2150</f>
        <v>77435.399999999994</v>
      </c>
      <c r="D144" s="43">
        <f t="shared" si="57"/>
        <v>6452.95</v>
      </c>
      <c r="E144" s="43">
        <v>2279.6</v>
      </c>
      <c r="F144" s="43">
        <v>2196.4</v>
      </c>
      <c r="G144" s="43">
        <f t="shared" si="58"/>
        <v>18042.448199999999</v>
      </c>
      <c r="H144" s="44">
        <f t="shared" si="65"/>
        <v>2.4666163916314078E-2</v>
      </c>
      <c r="I144" s="43">
        <v>6488.5</v>
      </c>
      <c r="J144" s="43"/>
      <c r="K144" s="43">
        <v>-921.8</v>
      </c>
      <c r="L144" s="43">
        <f t="shared" si="60"/>
        <v>5566.7</v>
      </c>
      <c r="M144" s="43">
        <v>2225</v>
      </c>
      <c r="N144" s="43">
        <f t="shared" si="61"/>
        <v>-3341.7</v>
      </c>
      <c r="O144" s="43">
        <f t="shared" si="66"/>
        <v>39.969820539996768</v>
      </c>
      <c r="P144" s="43">
        <v>22257.5</v>
      </c>
      <c r="Q144" s="44">
        <f t="shared" si="63"/>
        <v>9.0811244026077723E-2</v>
      </c>
      <c r="R144" s="43">
        <f>6201897*Q144/100-3400</f>
        <v>2232.0198189159937</v>
      </c>
      <c r="S144" s="43"/>
      <c r="T144" s="43"/>
      <c r="U144" s="43"/>
      <c r="V144" s="43"/>
      <c r="W144" s="43"/>
      <c r="X144" s="43">
        <f t="shared" si="51"/>
        <v>2232.0198189159937</v>
      </c>
      <c r="Y144" s="43">
        <v>2043</v>
      </c>
      <c r="Z144" s="43">
        <f t="shared" si="56"/>
        <v>2043</v>
      </c>
      <c r="AA144" s="43"/>
      <c r="AB144" s="43"/>
      <c r="AC144" s="43"/>
      <c r="AD144" s="43">
        <f t="shared" si="52"/>
        <v>2043</v>
      </c>
      <c r="AE144" s="43">
        <v>2379.1999999999994</v>
      </c>
      <c r="AF144" s="43"/>
      <c r="AG144" s="43"/>
      <c r="AH144" s="42">
        <f t="shared" si="53"/>
        <v>2379.1999999999994</v>
      </c>
      <c r="AI144" s="41">
        <v>2379.1999999999998</v>
      </c>
      <c r="AJ144" s="40">
        <v>2318.2000000000003</v>
      </c>
      <c r="AK144" s="49">
        <f>3374.31-1000</f>
        <v>2374.31</v>
      </c>
      <c r="AL144" s="39">
        <f t="shared" si="54"/>
        <v>2374.31</v>
      </c>
      <c r="AM144" s="49"/>
      <c r="AN144" s="49">
        <f t="shared" si="55"/>
        <v>2374.31</v>
      </c>
    </row>
    <row r="145" spans="1:40" s="18" customFormat="1" ht="20.399999999999999" x14ac:dyDescent="0.25">
      <c r="A145" s="46">
        <v>28130</v>
      </c>
      <c r="B145" s="45" t="s">
        <v>160</v>
      </c>
      <c r="C145" s="43">
        <v>18234.7</v>
      </c>
      <c r="D145" s="43">
        <f t="shared" si="57"/>
        <v>1519.5583333333334</v>
      </c>
      <c r="E145" s="43">
        <v>1491.7</v>
      </c>
      <c r="F145" s="43">
        <v>1907.2</v>
      </c>
      <c r="G145" s="43">
        <f t="shared" si="58"/>
        <v>4248.6850999999997</v>
      </c>
      <c r="H145" s="44">
        <f t="shared" si="65"/>
        <v>1.8730523801420894E-2</v>
      </c>
      <c r="I145" s="43">
        <v>639.20000000000005</v>
      </c>
      <c r="J145" s="43"/>
      <c r="K145" s="43">
        <v>921.8</v>
      </c>
      <c r="L145" s="43">
        <f t="shared" si="60"/>
        <v>1561</v>
      </c>
      <c r="M145" s="43">
        <v>1561</v>
      </c>
      <c r="N145" s="43">
        <f t="shared" si="61"/>
        <v>0</v>
      </c>
      <c r="O145" s="43">
        <f t="shared" si="66"/>
        <v>100</v>
      </c>
      <c r="P145" s="43">
        <v>4461.5</v>
      </c>
      <c r="Q145" s="44">
        <f t="shared" si="63"/>
        <v>1.8203049094567932E-2</v>
      </c>
      <c r="R145" s="43">
        <f>6201897*Q145/100+400</f>
        <v>1528.9343557045356</v>
      </c>
      <c r="S145" s="43"/>
      <c r="T145" s="43"/>
      <c r="U145" s="43"/>
      <c r="V145" s="43"/>
      <c r="W145" s="43"/>
      <c r="X145" s="43">
        <f t="shared" si="51"/>
        <v>1528.9343557045356</v>
      </c>
      <c r="Y145" s="43">
        <v>843</v>
      </c>
      <c r="Z145" s="43">
        <f t="shared" si="56"/>
        <v>843</v>
      </c>
      <c r="AA145" s="43">
        <v>644.20000000000005</v>
      </c>
      <c r="AB145" s="43"/>
      <c r="AC145" s="43"/>
      <c r="AD145" s="43">
        <f t="shared" si="52"/>
        <v>1487.2</v>
      </c>
      <c r="AE145" s="43">
        <v>1214.3999999999999</v>
      </c>
      <c r="AF145" s="43">
        <v>700</v>
      </c>
      <c r="AG145" s="43"/>
      <c r="AH145" s="42">
        <f t="shared" si="53"/>
        <v>1914.3999999999999</v>
      </c>
      <c r="AI145" s="41">
        <v>1560.1</v>
      </c>
      <c r="AJ145" s="40">
        <v>1716.8</v>
      </c>
      <c r="AK145" s="49">
        <v>1673</v>
      </c>
      <c r="AL145" s="39">
        <f t="shared" si="54"/>
        <v>1673</v>
      </c>
      <c r="AM145" s="49"/>
      <c r="AN145" s="49">
        <f t="shared" si="55"/>
        <v>1673</v>
      </c>
    </row>
    <row r="146" spans="1:40" s="18" customFormat="1" ht="13.2" x14ac:dyDescent="0.25">
      <c r="A146" s="46">
        <v>28220</v>
      </c>
      <c r="B146" s="45" t="s">
        <v>159</v>
      </c>
      <c r="C146" s="43">
        <v>14707.4</v>
      </c>
      <c r="D146" s="43">
        <f t="shared" si="57"/>
        <v>1225.6166666666666</v>
      </c>
      <c r="E146" s="43">
        <v>1217.3</v>
      </c>
      <c r="F146" s="43">
        <v>1197.9000000000001</v>
      </c>
      <c r="G146" s="43">
        <f t="shared" si="58"/>
        <v>3426.8242</v>
      </c>
      <c r="H146" s="44">
        <f t="shared" si="65"/>
        <v>1.3309588715523183E-2</v>
      </c>
      <c r="I146" s="43">
        <v>1055.5</v>
      </c>
      <c r="J146" s="43"/>
      <c r="K146" s="43"/>
      <c r="L146" s="43">
        <f t="shared" si="60"/>
        <v>1055.5</v>
      </c>
      <c r="M146" s="43">
        <v>1055.5</v>
      </c>
      <c r="N146" s="43">
        <f t="shared" si="61"/>
        <v>0</v>
      </c>
      <c r="O146" s="43">
        <f t="shared" si="66"/>
        <v>100</v>
      </c>
      <c r="P146" s="43">
        <v>3801.8</v>
      </c>
      <c r="Q146" s="44">
        <f t="shared" si="63"/>
        <v>1.5511454005990893E-2</v>
      </c>
      <c r="R146" s="43">
        <f>6201897*Q146/100</f>
        <v>962.004400653929</v>
      </c>
      <c r="S146" s="43"/>
      <c r="T146" s="43"/>
      <c r="U146" s="43"/>
      <c r="V146" s="43"/>
      <c r="W146" s="43"/>
      <c r="X146" s="43">
        <f t="shared" si="51"/>
        <v>962.004400653929</v>
      </c>
      <c r="Y146" s="43">
        <v>1176</v>
      </c>
      <c r="Z146" s="43">
        <f t="shared" si="56"/>
        <v>1176</v>
      </c>
      <c r="AA146" s="43"/>
      <c r="AB146" s="43"/>
      <c r="AC146" s="43"/>
      <c r="AD146" s="43">
        <f t="shared" si="52"/>
        <v>1176</v>
      </c>
      <c r="AE146" s="43">
        <f>1591.9-300</f>
        <v>1291.9000000000001</v>
      </c>
      <c r="AF146" s="43"/>
      <c r="AG146" s="43"/>
      <c r="AH146" s="42">
        <f t="shared" si="53"/>
        <v>1291.9000000000001</v>
      </c>
      <c r="AI146" s="41">
        <v>1250.5999999999999</v>
      </c>
      <c r="AJ146" s="40">
        <v>1047.5</v>
      </c>
      <c r="AK146" s="49">
        <v>1199.5</v>
      </c>
      <c r="AL146" s="39">
        <f t="shared" si="54"/>
        <v>1199.5</v>
      </c>
      <c r="AM146" s="49"/>
      <c r="AN146" s="49">
        <f t="shared" si="55"/>
        <v>1199.5</v>
      </c>
    </row>
    <row r="147" spans="1:40" s="18" customFormat="1" ht="13.2" x14ac:dyDescent="0.25">
      <c r="A147" s="48">
        <v>28910</v>
      </c>
      <c r="B147" s="45" t="s">
        <v>158</v>
      </c>
      <c r="C147" s="43">
        <v>22971.3</v>
      </c>
      <c r="D147" s="43">
        <f t="shared" si="57"/>
        <v>1914.2749999999999</v>
      </c>
      <c r="E147" s="43"/>
      <c r="F147" s="43"/>
      <c r="G147" s="43">
        <f t="shared" si="58"/>
        <v>5352.3129000000008</v>
      </c>
      <c r="H147" s="44">
        <f t="shared" si="65"/>
        <v>0</v>
      </c>
      <c r="I147" s="43">
        <v>1300</v>
      </c>
      <c r="J147" s="43"/>
      <c r="K147" s="43"/>
      <c r="L147" s="43">
        <f t="shared" si="60"/>
        <v>1300</v>
      </c>
      <c r="M147" s="43">
        <v>1300</v>
      </c>
      <c r="N147" s="43">
        <f t="shared" si="61"/>
        <v>0</v>
      </c>
      <c r="O147" s="43">
        <f t="shared" si="66"/>
        <v>100</v>
      </c>
      <c r="P147" s="43">
        <v>2500</v>
      </c>
      <c r="Q147" s="44">
        <f t="shared" si="63"/>
        <v>1.0200072338097015E-2</v>
      </c>
      <c r="R147" s="43">
        <f>6201897*Q147/100-632.6</f>
        <v>-2.0196657313817923E-3</v>
      </c>
      <c r="S147" s="43"/>
      <c r="T147" s="43"/>
      <c r="U147" s="43">
        <v>1240</v>
      </c>
      <c r="V147" s="43"/>
      <c r="W147" s="43"/>
      <c r="X147" s="43">
        <f t="shared" si="51"/>
        <v>1239.9979803342685</v>
      </c>
      <c r="Y147" s="43"/>
      <c r="Z147" s="43">
        <f t="shared" si="56"/>
        <v>0</v>
      </c>
      <c r="AA147" s="43"/>
      <c r="AB147" s="43"/>
      <c r="AC147" s="43">
        <v>780</v>
      </c>
      <c r="AD147" s="43">
        <f t="shared" si="52"/>
        <v>780</v>
      </c>
      <c r="AE147" s="43"/>
      <c r="AF147" s="43"/>
      <c r="AG147" s="43"/>
      <c r="AH147" s="42">
        <f t="shared" si="53"/>
        <v>0</v>
      </c>
      <c r="AI147" s="41">
        <f>2880</f>
        <v>2880</v>
      </c>
      <c r="AJ147" s="40">
        <v>0</v>
      </c>
      <c r="AK147" s="49">
        <v>400</v>
      </c>
      <c r="AL147" s="39">
        <f t="shared" si="54"/>
        <v>400</v>
      </c>
      <c r="AM147" s="49"/>
      <c r="AN147" s="49">
        <f t="shared" si="55"/>
        <v>400</v>
      </c>
    </row>
    <row r="148" spans="1:40" s="18" customFormat="1" ht="13.2" hidden="1" x14ac:dyDescent="0.25">
      <c r="A148" s="46">
        <v>29110</v>
      </c>
      <c r="B148" s="45" t="s">
        <v>157</v>
      </c>
      <c r="C148" s="43">
        <v>50496.5</v>
      </c>
      <c r="D148" s="43">
        <f t="shared" si="57"/>
        <v>4208.041666666667</v>
      </c>
      <c r="E148" s="43">
        <v>2120.1</v>
      </c>
      <c r="F148" s="43">
        <v>3976.1</v>
      </c>
      <c r="G148" s="43">
        <f t="shared" si="58"/>
        <v>11765.684499999999</v>
      </c>
      <c r="H148" s="44">
        <f t="shared" si="65"/>
        <v>3.3594698048845822E-2</v>
      </c>
      <c r="I148" s="43">
        <v>5809.3</v>
      </c>
      <c r="J148" s="43"/>
      <c r="K148" s="43"/>
      <c r="L148" s="43">
        <f t="shared" si="60"/>
        <v>5809.3</v>
      </c>
      <c r="M148" s="43">
        <v>4338.6000000000004</v>
      </c>
      <c r="N148" s="43">
        <f t="shared" si="61"/>
        <v>-1470.6999999999998</v>
      </c>
      <c r="O148" s="43">
        <f t="shared" si="66"/>
        <v>74.683696830943489</v>
      </c>
      <c r="P148" s="43">
        <v>12919.400000000001</v>
      </c>
      <c r="Q148" s="44">
        <f t="shared" si="63"/>
        <v>5.2711525825924241E-2</v>
      </c>
      <c r="R148" s="43">
        <f>6201897*Q148/100</f>
        <v>3269.1145388522209</v>
      </c>
      <c r="S148" s="43"/>
      <c r="T148" s="43"/>
      <c r="U148" s="43"/>
      <c r="V148" s="43"/>
      <c r="W148" s="43"/>
      <c r="X148" s="43">
        <f t="shared" si="51"/>
        <v>3269.1145388522209</v>
      </c>
      <c r="Y148" s="43">
        <v>4306.5</v>
      </c>
      <c r="Z148" s="43">
        <f t="shared" si="56"/>
        <v>4306.5</v>
      </c>
      <c r="AA148" s="43"/>
      <c r="AB148" s="43"/>
      <c r="AC148" s="43"/>
      <c r="AD148" s="43">
        <f t="shared" si="52"/>
        <v>4306.5</v>
      </c>
      <c r="AE148" s="43">
        <f>7050.7-2500</f>
        <v>4550.7</v>
      </c>
      <c r="AF148" s="43"/>
      <c r="AG148" s="43"/>
      <c r="AH148" s="42">
        <f t="shared" si="53"/>
        <v>4550.7</v>
      </c>
      <c r="AI148" s="41">
        <v>4550.7</v>
      </c>
      <c r="AJ148" s="40">
        <v>4472.3</v>
      </c>
      <c r="AK148" s="49">
        <f>5011.9-1000</f>
        <v>4011.8999999999996</v>
      </c>
      <c r="AL148" s="39">
        <f t="shared" si="54"/>
        <v>4011.8999999999996</v>
      </c>
      <c r="AM148" s="49"/>
      <c r="AN148" s="49">
        <f t="shared" si="55"/>
        <v>4011.8999999999996</v>
      </c>
    </row>
    <row r="149" spans="1:40" s="18" customFormat="1" ht="13.2" hidden="1" x14ac:dyDescent="0.25">
      <c r="A149" s="46">
        <v>29120</v>
      </c>
      <c r="B149" s="45" t="s">
        <v>156</v>
      </c>
      <c r="C149" s="43">
        <f>568246.2+1140.7</f>
        <v>569386.89999999991</v>
      </c>
      <c r="D149" s="43">
        <f t="shared" si="57"/>
        <v>47448.908333333326</v>
      </c>
      <c r="E149" s="43">
        <v>34728.1</v>
      </c>
      <c r="F149" s="43">
        <v>33847.300000000003</v>
      </c>
      <c r="G149" s="43">
        <f t="shared" si="58"/>
        <v>132667.14769999997</v>
      </c>
      <c r="H149" s="44">
        <f t="shared" si="65"/>
        <v>0.3779026043402155</v>
      </c>
      <c r="I149" s="43">
        <v>48158</v>
      </c>
      <c r="J149" s="43"/>
      <c r="K149" s="43"/>
      <c r="L149" s="43">
        <f t="shared" si="60"/>
        <v>48158</v>
      </c>
      <c r="M149" s="43">
        <v>31027</v>
      </c>
      <c r="N149" s="43">
        <f t="shared" si="61"/>
        <v>-17131</v>
      </c>
      <c r="O149" s="43">
        <f t="shared" si="66"/>
        <v>64.427509448066772</v>
      </c>
      <c r="P149" s="43">
        <v>160642.00000000003</v>
      </c>
      <c r="Q149" s="44">
        <f t="shared" si="63"/>
        <v>0.65542400821463243</v>
      </c>
      <c r="R149" s="43">
        <f>6201897*Q149/100-5000</f>
        <v>35648.72190274304</v>
      </c>
      <c r="S149" s="43">
        <v>4056.4</v>
      </c>
      <c r="T149" s="43"/>
      <c r="U149" s="43"/>
      <c r="V149" s="43"/>
      <c r="W149" s="43"/>
      <c r="X149" s="43">
        <f t="shared" si="51"/>
        <v>39705.121902743042</v>
      </c>
      <c r="Y149" s="43">
        <v>34943.1</v>
      </c>
      <c r="Z149" s="43">
        <f t="shared" si="56"/>
        <v>34943.1</v>
      </c>
      <c r="AA149" s="43"/>
      <c r="AB149" s="43"/>
      <c r="AC149" s="43">
        <v>8621.9</v>
      </c>
      <c r="AD149" s="43">
        <f t="shared" si="52"/>
        <v>43565</v>
      </c>
      <c r="AE149" s="43">
        <f>64647.3-20000</f>
        <v>44647.3</v>
      </c>
      <c r="AF149" s="43"/>
      <c r="AG149" s="43"/>
      <c r="AH149" s="42">
        <f t="shared" si="53"/>
        <v>44647.3</v>
      </c>
      <c r="AI149" s="41">
        <v>44600</v>
      </c>
      <c r="AJ149" s="40">
        <v>49738.8</v>
      </c>
      <c r="AK149" s="49">
        <f>56150.6-10000</f>
        <v>46150.6</v>
      </c>
      <c r="AL149" s="39">
        <f t="shared" si="54"/>
        <v>46150.6</v>
      </c>
      <c r="AM149" s="49"/>
      <c r="AN149" s="49">
        <f t="shared" si="55"/>
        <v>46150.6</v>
      </c>
    </row>
    <row r="150" spans="1:40" s="18" customFormat="1" ht="20.399999999999999" hidden="1" x14ac:dyDescent="0.25">
      <c r="A150" s="46">
        <v>30110</v>
      </c>
      <c r="B150" s="45" t="s">
        <v>155</v>
      </c>
      <c r="C150" s="43">
        <v>25917.5</v>
      </c>
      <c r="D150" s="43">
        <f t="shared" si="57"/>
        <v>2159.7916666666665</v>
      </c>
      <c r="E150" s="43">
        <v>2073.6</v>
      </c>
      <c r="F150" s="43">
        <v>2202.9</v>
      </c>
      <c r="G150" s="43">
        <f t="shared" si="58"/>
        <v>6038.7775000000001</v>
      </c>
      <c r="H150" s="44">
        <f t="shared" si="65"/>
        <v>2.3566767200204907E-2</v>
      </c>
      <c r="I150" s="43">
        <v>1880.6</v>
      </c>
      <c r="J150" s="43"/>
      <c r="K150" s="43"/>
      <c r="L150" s="43">
        <f t="shared" si="60"/>
        <v>1880.6</v>
      </c>
      <c r="M150" s="43">
        <v>1880.6</v>
      </c>
      <c r="N150" s="43">
        <f t="shared" si="61"/>
        <v>0</v>
      </c>
      <c r="O150" s="43">
        <f t="shared" si="66"/>
        <v>100</v>
      </c>
      <c r="P150" s="43">
        <v>6724.4</v>
      </c>
      <c r="Q150" s="44">
        <f t="shared" si="63"/>
        <v>2.7435746572119828E-2</v>
      </c>
      <c r="R150" s="43">
        <f>6201897*Q150/100+300</f>
        <v>2001.5367435839025</v>
      </c>
      <c r="S150" s="43"/>
      <c r="T150" s="43"/>
      <c r="U150" s="43"/>
      <c r="V150" s="43"/>
      <c r="W150" s="43"/>
      <c r="X150" s="43">
        <f t="shared" si="51"/>
        <v>2001.5367435839025</v>
      </c>
      <c r="Y150" s="43">
        <v>2241.4</v>
      </c>
      <c r="Z150" s="43">
        <f t="shared" si="56"/>
        <v>2241.4</v>
      </c>
      <c r="AA150" s="43"/>
      <c r="AB150" s="43"/>
      <c r="AC150" s="43"/>
      <c r="AD150" s="43">
        <f t="shared" si="52"/>
        <v>2241.4</v>
      </c>
      <c r="AE150" s="43">
        <v>2481.5</v>
      </c>
      <c r="AF150" s="43"/>
      <c r="AG150" s="43"/>
      <c r="AH150" s="42">
        <f t="shared" si="53"/>
        <v>2481.5</v>
      </c>
      <c r="AI150" s="41">
        <v>2098.6999999999998</v>
      </c>
      <c r="AJ150" s="40">
        <v>2098.6999999999998</v>
      </c>
      <c r="AK150" s="49">
        <v>2098.6999999999998</v>
      </c>
      <c r="AL150" s="39">
        <f t="shared" si="54"/>
        <v>2098.6999999999998</v>
      </c>
      <c r="AM150" s="49"/>
      <c r="AN150" s="49">
        <f t="shared" si="55"/>
        <v>2098.6999999999998</v>
      </c>
    </row>
    <row r="151" spans="1:40" s="18" customFormat="1" ht="20.399999999999999" hidden="1" x14ac:dyDescent="0.25">
      <c r="A151" s="46">
        <v>30120</v>
      </c>
      <c r="B151" s="45" t="s">
        <v>154</v>
      </c>
      <c r="C151" s="43">
        <f>1598012+105476.3+63853.5</f>
        <v>1767341.8</v>
      </c>
      <c r="D151" s="43">
        <f t="shared" si="57"/>
        <v>147278.48333333334</v>
      </c>
      <c r="E151" s="43">
        <v>125355.6</v>
      </c>
      <c r="F151" s="43">
        <v>136825.79999999999</v>
      </c>
      <c r="G151" s="43">
        <f t="shared" si="58"/>
        <v>411790.63940000004</v>
      </c>
      <c r="H151" s="44">
        <f t="shared" si="65"/>
        <v>1.4448188981699528</v>
      </c>
      <c r="I151" s="43">
        <v>323461.40000000002</v>
      </c>
      <c r="J151" s="43"/>
      <c r="K151" s="43"/>
      <c r="L151" s="43">
        <f t="shared" si="60"/>
        <v>323461.40000000002</v>
      </c>
      <c r="M151" s="43">
        <v>323461.40000000002</v>
      </c>
      <c r="N151" s="43">
        <f t="shared" si="61"/>
        <v>0</v>
      </c>
      <c r="O151" s="43">
        <f t="shared" si="66"/>
        <v>100</v>
      </c>
      <c r="P151" s="43">
        <v>399727.89999999991</v>
      </c>
      <c r="Q151" s="44">
        <f t="shared" si="63"/>
        <v>1.6309013982222436</v>
      </c>
      <c r="R151" s="43">
        <f>6201897*Q151/100</f>
        <v>101146.82488930337</v>
      </c>
      <c r="S151" s="43">
        <v>100000</v>
      </c>
      <c r="T151" s="43"/>
      <c r="U151" s="43"/>
      <c r="V151" s="43"/>
      <c r="W151" s="43"/>
      <c r="X151" s="43">
        <f t="shared" si="51"/>
        <v>201146.82488930336</v>
      </c>
      <c r="Y151" s="43">
        <v>129426.9</v>
      </c>
      <c r="Z151" s="43">
        <f t="shared" si="56"/>
        <v>129426.9</v>
      </c>
      <c r="AA151" s="43"/>
      <c r="AB151" s="43"/>
      <c r="AC151" s="43"/>
      <c r="AD151" s="43">
        <f t="shared" si="52"/>
        <v>129426.9</v>
      </c>
      <c r="AE151" s="43">
        <f>152480.7-12000</f>
        <v>140480.70000000001</v>
      </c>
      <c r="AF151" s="43">
        <f>20000</f>
        <v>20000</v>
      </c>
      <c r="AG151" s="43"/>
      <c r="AH151" s="42">
        <f t="shared" si="53"/>
        <v>160480.70000000001</v>
      </c>
      <c r="AI151" s="41">
        <f>130957.4+10000+28000</f>
        <v>168957.4</v>
      </c>
      <c r="AJ151" s="40">
        <v>332506.2</v>
      </c>
      <c r="AK151" s="49">
        <f>159034.696-30000</f>
        <v>129034.696</v>
      </c>
      <c r="AL151" s="39">
        <f t="shared" si="54"/>
        <v>129034.696</v>
      </c>
      <c r="AM151" s="49"/>
      <c r="AN151" s="49">
        <f t="shared" si="55"/>
        <v>129034.696</v>
      </c>
    </row>
    <row r="152" spans="1:40" s="18" customFormat="1" ht="13.2" x14ac:dyDescent="0.25">
      <c r="A152" s="46">
        <v>31110</v>
      </c>
      <c r="B152" s="45" t="s">
        <v>153</v>
      </c>
      <c r="C152" s="43">
        <v>23165.9</v>
      </c>
      <c r="D152" s="43">
        <f t="shared" si="57"/>
        <v>1930.4916666666668</v>
      </c>
      <c r="E152" s="43">
        <v>1880.8</v>
      </c>
      <c r="F152" s="43">
        <v>2222.6999999999998</v>
      </c>
      <c r="G152" s="43">
        <f t="shared" si="58"/>
        <v>5397.654700000001</v>
      </c>
      <c r="H152" s="44">
        <f t="shared" si="65"/>
        <v>2.2613405636862115E-2</v>
      </c>
      <c r="I152" s="43">
        <v>1628.8</v>
      </c>
      <c r="J152" s="43"/>
      <c r="K152" s="43"/>
      <c r="L152" s="43">
        <f t="shared" si="60"/>
        <v>1628.8</v>
      </c>
      <c r="M152" s="43">
        <v>1628.8</v>
      </c>
      <c r="N152" s="43">
        <f t="shared" si="61"/>
        <v>0</v>
      </c>
      <c r="O152" s="43">
        <f t="shared" si="66"/>
        <v>100</v>
      </c>
      <c r="P152" s="43">
        <v>6057.3</v>
      </c>
      <c r="Q152" s="44">
        <f t="shared" si="63"/>
        <v>2.471395926942202E-2</v>
      </c>
      <c r="R152" s="43">
        <f>6201897*Q152/100</f>
        <v>1532.734298511506</v>
      </c>
      <c r="S152" s="43">
        <v>486</v>
      </c>
      <c r="T152" s="43"/>
      <c r="U152" s="43"/>
      <c r="V152" s="43"/>
      <c r="W152" s="43"/>
      <c r="X152" s="43">
        <f t="shared" si="51"/>
        <v>2018.734298511506</v>
      </c>
      <c r="Y152" s="43">
        <v>1786</v>
      </c>
      <c r="Z152" s="43">
        <f t="shared" si="56"/>
        <v>1786</v>
      </c>
      <c r="AA152" s="43"/>
      <c r="AB152" s="43"/>
      <c r="AC152" s="43"/>
      <c r="AD152" s="43">
        <f t="shared" si="52"/>
        <v>1786</v>
      </c>
      <c r="AE152" s="43">
        <v>2008.6</v>
      </c>
      <c r="AF152" s="43"/>
      <c r="AG152" s="43"/>
      <c r="AH152" s="42">
        <f t="shared" si="53"/>
        <v>2008.6</v>
      </c>
      <c r="AI152" s="41">
        <v>1871.9</v>
      </c>
      <c r="AJ152" s="40">
        <v>1761.1</v>
      </c>
      <c r="AK152" s="49">
        <v>2024.2</v>
      </c>
      <c r="AL152" s="39">
        <f t="shared" si="54"/>
        <v>2024.2</v>
      </c>
      <c r="AM152" s="49"/>
      <c r="AN152" s="49">
        <f t="shared" si="55"/>
        <v>2024.2</v>
      </c>
    </row>
    <row r="153" spans="1:40" s="18" customFormat="1" ht="20.399999999999999" x14ac:dyDescent="0.25">
      <c r="A153" s="46">
        <v>32120</v>
      </c>
      <c r="B153" s="45" t="s">
        <v>152</v>
      </c>
      <c r="C153" s="43">
        <f>970184.3+3662.5+114496.7</f>
        <v>1088343.5</v>
      </c>
      <c r="D153" s="43">
        <f t="shared" si="57"/>
        <v>90695.291666666672</v>
      </c>
      <c r="E153" s="43">
        <v>99771</v>
      </c>
      <c r="F153" s="43">
        <v>110329.1</v>
      </c>
      <c r="G153" s="43">
        <f t="shared" si="58"/>
        <v>253584.0355</v>
      </c>
      <c r="H153" s="44">
        <f t="shared" si="65"/>
        <v>1.1578113282917739</v>
      </c>
      <c r="I153" s="43">
        <v>108181</v>
      </c>
      <c r="J153" s="43"/>
      <c r="K153" s="43"/>
      <c r="L153" s="43">
        <f t="shared" si="60"/>
        <v>108181</v>
      </c>
      <c r="M153" s="43">
        <v>96763.3</v>
      </c>
      <c r="N153" s="43">
        <f t="shared" si="61"/>
        <v>-11417.699999999997</v>
      </c>
      <c r="O153" s="43">
        <f t="shared" si="66"/>
        <v>89.445743707305354</v>
      </c>
      <c r="P153" s="43">
        <v>277561</v>
      </c>
      <c r="Q153" s="44">
        <f t="shared" si="63"/>
        <v>1.1324569112938183</v>
      </c>
      <c r="R153" s="43">
        <f>6201897*Q153/100+25000</f>
        <v>95233.811207823979</v>
      </c>
      <c r="S153" s="43"/>
      <c r="T153" s="43"/>
      <c r="U153" s="43"/>
      <c r="V153" s="43"/>
      <c r="W153" s="43"/>
      <c r="X153" s="43">
        <f t="shared" si="51"/>
        <v>95233.811207823979</v>
      </c>
      <c r="Y153" s="43">
        <v>78213</v>
      </c>
      <c r="Z153" s="43">
        <f t="shared" si="56"/>
        <v>78213</v>
      </c>
      <c r="AA153" s="43"/>
      <c r="AB153" s="43">
        <v>22000</v>
      </c>
      <c r="AC153" s="43"/>
      <c r="AD153" s="43">
        <f t="shared" si="52"/>
        <v>100213</v>
      </c>
      <c r="AE153" s="43">
        <v>93245.3</v>
      </c>
      <c r="AF153" s="43"/>
      <c r="AG153" s="43"/>
      <c r="AH153" s="42">
        <f t="shared" si="53"/>
        <v>93245.3</v>
      </c>
      <c r="AI153" s="41">
        <f>93240+5000</f>
        <v>98240</v>
      </c>
      <c r="AJ153" s="40">
        <v>137195.79999999999</v>
      </c>
      <c r="AK153" s="49">
        <f>134845.916666667-40000</f>
        <v>94845.916666667006</v>
      </c>
      <c r="AL153" s="39">
        <f t="shared" si="54"/>
        <v>94845.916666667006</v>
      </c>
      <c r="AM153" s="49"/>
      <c r="AN153" s="49">
        <f t="shared" si="55"/>
        <v>94845.916666667006</v>
      </c>
    </row>
    <row r="154" spans="1:40" s="18" customFormat="1" ht="36" customHeight="1" x14ac:dyDescent="0.25">
      <c r="A154" s="46">
        <v>32320</v>
      </c>
      <c r="B154" s="45" t="s">
        <v>151</v>
      </c>
      <c r="C154" s="43">
        <v>194210.4</v>
      </c>
      <c r="D154" s="43">
        <f t="shared" si="57"/>
        <v>16184.199999999999</v>
      </c>
      <c r="E154" s="43">
        <v>13803.3</v>
      </c>
      <c r="F154" s="43">
        <v>16516.599999999999</v>
      </c>
      <c r="G154" s="43">
        <f t="shared" si="58"/>
        <v>45251.023200000003</v>
      </c>
      <c r="H154" s="44">
        <f t="shared" si="65"/>
        <v>0.16708570673061912</v>
      </c>
      <c r="I154" s="43">
        <v>13048.4</v>
      </c>
      <c r="J154" s="43"/>
      <c r="K154" s="43">
        <v>3740</v>
      </c>
      <c r="L154" s="43">
        <f t="shared" si="60"/>
        <v>16788.400000000001</v>
      </c>
      <c r="M154" s="43">
        <v>16780</v>
      </c>
      <c r="N154" s="43">
        <f t="shared" si="61"/>
        <v>-8.4000000000014552</v>
      </c>
      <c r="O154" s="43">
        <f t="shared" si="66"/>
        <v>99.94996545233613</v>
      </c>
      <c r="P154" s="43">
        <v>51596.7</v>
      </c>
      <c r="Q154" s="44">
        <f t="shared" si="63"/>
        <v>0.21051602896283608</v>
      </c>
      <c r="R154" s="43">
        <f>6201897*Q154/100+1000</f>
        <v>14055.987284765262</v>
      </c>
      <c r="S154" s="43"/>
      <c r="T154" s="43"/>
      <c r="U154" s="43"/>
      <c r="V154" s="43"/>
      <c r="W154" s="43"/>
      <c r="X154" s="43">
        <f t="shared" si="51"/>
        <v>14055.987284765262</v>
      </c>
      <c r="Y154" s="43">
        <v>14338</v>
      </c>
      <c r="Z154" s="43">
        <f t="shared" si="56"/>
        <v>14338</v>
      </c>
      <c r="AA154" s="43"/>
      <c r="AB154" s="43"/>
      <c r="AC154" s="43"/>
      <c r="AD154" s="43">
        <f t="shared" si="52"/>
        <v>14338</v>
      </c>
      <c r="AE154" s="43">
        <f>23879.2-7000</f>
        <v>16879.2</v>
      </c>
      <c r="AF154" s="43"/>
      <c r="AG154" s="43"/>
      <c r="AH154" s="42">
        <f t="shared" si="53"/>
        <v>16879.2</v>
      </c>
      <c r="AI154" s="41">
        <v>16866.3</v>
      </c>
      <c r="AJ154" s="40">
        <v>19289.900000000001</v>
      </c>
      <c r="AK154" s="49">
        <f>19528.2727272727-3000</f>
        <v>16528.272727272699</v>
      </c>
      <c r="AL154" s="39">
        <f t="shared" si="54"/>
        <v>16528.272727272699</v>
      </c>
      <c r="AM154" s="49"/>
      <c r="AN154" s="49">
        <f t="shared" si="55"/>
        <v>16528.272727272699</v>
      </c>
    </row>
    <row r="155" spans="1:40" s="18" customFormat="1" ht="13.2" hidden="1" x14ac:dyDescent="0.25">
      <c r="A155" s="46">
        <v>33110</v>
      </c>
      <c r="B155" s="45" t="s">
        <v>150</v>
      </c>
      <c r="C155" s="43">
        <v>715174.2</v>
      </c>
      <c r="D155" s="43">
        <f t="shared" si="57"/>
        <v>59597.85</v>
      </c>
      <c r="E155" s="43">
        <v>51415</v>
      </c>
      <c r="F155" s="43">
        <v>76590.5</v>
      </c>
      <c r="G155" s="43">
        <f t="shared" si="58"/>
        <v>166635.58859999999</v>
      </c>
      <c r="H155" s="44">
        <f t="shared" si="65"/>
        <v>0.70540765084668056</v>
      </c>
      <c r="I155" s="43">
        <v>51892</v>
      </c>
      <c r="J155" s="43"/>
      <c r="K155" s="43"/>
      <c r="L155" s="43">
        <f t="shared" si="60"/>
        <v>51892</v>
      </c>
      <c r="M155" s="43">
        <v>46919.9</v>
      </c>
      <c r="N155" s="43">
        <f t="shared" si="61"/>
        <v>-4972.0999999999985</v>
      </c>
      <c r="O155" s="43">
        <f t="shared" si="66"/>
        <v>90.418368920064751</v>
      </c>
      <c r="P155" s="43">
        <v>186639.09999999998</v>
      </c>
      <c r="Q155" s="44">
        <f t="shared" si="63"/>
        <v>0.76149292844692895</v>
      </c>
      <c r="R155" s="43">
        <f>6201897*Q155/100</f>
        <v>47227.007084562232</v>
      </c>
      <c r="S155" s="43">
        <f>22893.4+230000</f>
        <v>252893.4</v>
      </c>
      <c r="T155" s="43"/>
      <c r="U155" s="43"/>
      <c r="V155" s="43"/>
      <c r="W155" s="43"/>
      <c r="X155" s="43">
        <f t="shared" si="51"/>
        <v>300120.40708456223</v>
      </c>
      <c r="Y155" s="43">
        <v>39981.599999999999</v>
      </c>
      <c r="Z155" s="43">
        <f t="shared" si="56"/>
        <v>39981.599999999999</v>
      </c>
      <c r="AA155" s="43">
        <v>65200</v>
      </c>
      <c r="AB155" s="43"/>
      <c r="AC155" s="43"/>
      <c r="AD155" s="43">
        <f t="shared" si="52"/>
        <v>105181.6</v>
      </c>
      <c r="AE155" s="43">
        <v>39991.199999999997</v>
      </c>
      <c r="AF155" s="43"/>
      <c r="AG155" s="42">
        <f>20424.8+35000</f>
        <v>55424.800000000003</v>
      </c>
      <c r="AH155" s="42">
        <f t="shared" si="53"/>
        <v>95416</v>
      </c>
      <c r="AI155" s="41">
        <v>68561.3</v>
      </c>
      <c r="AJ155" s="40">
        <v>293492.7</v>
      </c>
      <c r="AK155" s="49">
        <f>160837.1-100000</f>
        <v>60837.100000000006</v>
      </c>
      <c r="AL155" s="39">
        <f t="shared" si="54"/>
        <v>60837.100000000006</v>
      </c>
      <c r="AM155" s="49"/>
      <c r="AN155" s="49">
        <f t="shared" si="55"/>
        <v>60837.100000000006</v>
      </c>
    </row>
    <row r="156" spans="1:40" s="18" customFormat="1" ht="12.75" hidden="1" customHeight="1" x14ac:dyDescent="0.25">
      <c r="A156" s="46">
        <v>33120</v>
      </c>
      <c r="B156" s="45" t="s">
        <v>149</v>
      </c>
      <c r="C156" s="43">
        <f>2630082.1+31654.6+59765.2</f>
        <v>2721501.9000000004</v>
      </c>
      <c r="D156" s="43">
        <f t="shared" si="57"/>
        <v>226791.82500000004</v>
      </c>
      <c r="E156" s="43">
        <v>221378.8</v>
      </c>
      <c r="F156" s="43">
        <v>221501.3</v>
      </c>
      <c r="G156" s="43">
        <f t="shared" si="58"/>
        <v>634109.94270000013</v>
      </c>
      <c r="H156" s="44">
        <f t="shared" si="65"/>
        <v>2.440606153233595</v>
      </c>
      <c r="I156" s="43">
        <v>190047.3</v>
      </c>
      <c r="J156" s="43"/>
      <c r="K156" s="43"/>
      <c r="L156" s="43">
        <f t="shared" si="60"/>
        <v>190047.3</v>
      </c>
      <c r="M156" s="43">
        <v>189017.7</v>
      </c>
      <c r="N156" s="43">
        <f t="shared" si="61"/>
        <v>-1029.5999999999767</v>
      </c>
      <c r="O156" s="43">
        <f t="shared" si="66"/>
        <v>99.458240132851145</v>
      </c>
      <c r="P156" s="43">
        <v>712807.29999999993</v>
      </c>
      <c r="Q156" s="44">
        <f t="shared" si="63"/>
        <v>2.9082744092494481</v>
      </c>
      <c r="R156" s="43">
        <f>6201897*Q156/100+10000</f>
        <v>190368.18333900924</v>
      </c>
      <c r="S156" s="43">
        <v>47577.2</v>
      </c>
      <c r="T156" s="43"/>
      <c r="U156" s="43"/>
      <c r="V156" s="43"/>
      <c r="W156" s="43"/>
      <c r="X156" s="43">
        <f t="shared" si="51"/>
        <v>237945.38333900925</v>
      </c>
      <c r="Y156" s="43">
        <v>219466.6</v>
      </c>
      <c r="Z156" s="43">
        <f t="shared" si="56"/>
        <v>219466.6</v>
      </c>
      <c r="AA156" s="43"/>
      <c r="AB156" s="43"/>
      <c r="AC156" s="43"/>
      <c r="AD156" s="43">
        <f t="shared" si="52"/>
        <v>219466.6</v>
      </c>
      <c r="AE156" s="43">
        <v>213966.6</v>
      </c>
      <c r="AF156" s="43"/>
      <c r="AG156" s="42">
        <f>36408.3</f>
        <v>36408.300000000003</v>
      </c>
      <c r="AH156" s="42">
        <f t="shared" si="53"/>
        <v>250374.90000000002</v>
      </c>
      <c r="AI156" s="41">
        <f>217363.5-28897.5</f>
        <v>188466</v>
      </c>
      <c r="AJ156" s="40">
        <v>205663.5</v>
      </c>
      <c r="AK156" s="49">
        <f>224609-5000</f>
        <v>219609</v>
      </c>
      <c r="AL156" s="39">
        <f t="shared" si="54"/>
        <v>219609</v>
      </c>
      <c r="AM156" s="49"/>
      <c r="AN156" s="49">
        <f t="shared" si="55"/>
        <v>219609</v>
      </c>
    </row>
    <row r="157" spans="1:40" s="18" customFormat="1" ht="13.5" hidden="1" customHeight="1" x14ac:dyDescent="0.25">
      <c r="A157" s="46">
        <v>33130</v>
      </c>
      <c r="B157" s="45" t="s">
        <v>148</v>
      </c>
      <c r="C157" s="43">
        <v>197318.8</v>
      </c>
      <c r="D157" s="43">
        <f t="shared" si="57"/>
        <v>16443.233333333334</v>
      </c>
      <c r="E157" s="43">
        <v>35134.400000000001</v>
      </c>
      <c r="F157" s="43">
        <v>19308.400000000001</v>
      </c>
      <c r="G157" s="43">
        <f t="shared" si="58"/>
        <v>45975.280400000003</v>
      </c>
      <c r="H157" s="44">
        <f t="shared" si="65"/>
        <v>0.30002123075583209</v>
      </c>
      <c r="I157" s="43">
        <v>18823.5</v>
      </c>
      <c r="J157" s="43">
        <v>2000</v>
      </c>
      <c r="K157" s="43"/>
      <c r="L157" s="43">
        <f t="shared" si="60"/>
        <v>20823.5</v>
      </c>
      <c r="M157" s="43">
        <v>20823.5</v>
      </c>
      <c r="N157" s="43">
        <f t="shared" si="61"/>
        <v>0</v>
      </c>
      <c r="O157" s="43">
        <f t="shared" si="66"/>
        <v>100</v>
      </c>
      <c r="P157" s="43">
        <v>58628.3</v>
      </c>
      <c r="Q157" s="44">
        <f t="shared" si="63"/>
        <v>0.23920516042386131</v>
      </c>
      <c r="R157" s="43">
        <f>6201897*Q157/100+5000</f>
        <v>19835.257668172642</v>
      </c>
      <c r="S157" s="43"/>
      <c r="T157" s="43">
        <v>16000</v>
      </c>
      <c r="U157" s="43"/>
      <c r="V157" s="43"/>
      <c r="W157" s="43"/>
      <c r="X157" s="43">
        <f t="shared" si="51"/>
        <v>35835.257668172642</v>
      </c>
      <c r="Y157" s="43">
        <v>23513.100000000002</v>
      </c>
      <c r="Z157" s="43">
        <f t="shared" si="56"/>
        <v>23513.100000000002</v>
      </c>
      <c r="AA157" s="43"/>
      <c r="AB157" s="43"/>
      <c r="AC157" s="43">
        <v>15300</v>
      </c>
      <c r="AD157" s="43">
        <f t="shared" si="52"/>
        <v>38813.100000000006</v>
      </c>
      <c r="AE157" s="43">
        <v>18330</v>
      </c>
      <c r="AF157" s="43">
        <v>22500</v>
      </c>
      <c r="AG157" s="43">
        <v>9766.9</v>
      </c>
      <c r="AH157" s="42">
        <f t="shared" si="53"/>
        <v>50596.9</v>
      </c>
      <c r="AI157" s="41">
        <f>23724.6+28897.5</f>
        <v>52622.1</v>
      </c>
      <c r="AJ157" s="40">
        <v>76920</v>
      </c>
      <c r="AK157" s="49">
        <f>37257.5-10000</f>
        <v>27257.5</v>
      </c>
      <c r="AL157" s="39">
        <f t="shared" si="54"/>
        <v>27257.5</v>
      </c>
      <c r="AM157" s="49">
        <v>10000</v>
      </c>
      <c r="AN157" s="49">
        <f t="shared" si="55"/>
        <v>37257.5</v>
      </c>
    </row>
    <row r="158" spans="1:40" s="18" customFormat="1" ht="13.2" hidden="1" x14ac:dyDescent="0.25">
      <c r="A158" s="46">
        <v>33420</v>
      </c>
      <c r="B158" s="45" t="s">
        <v>147</v>
      </c>
      <c r="C158" s="43">
        <v>95902.6</v>
      </c>
      <c r="D158" s="43">
        <f t="shared" si="57"/>
        <v>7991.8833333333341</v>
      </c>
      <c r="E158" s="43">
        <v>6852</v>
      </c>
      <c r="F158" s="43">
        <v>8093.5</v>
      </c>
      <c r="G158" s="43">
        <f t="shared" si="58"/>
        <v>22345.305800000002</v>
      </c>
      <c r="H158" s="44">
        <f t="shared" si="65"/>
        <v>8.2361070779998241E-2</v>
      </c>
      <c r="I158" s="43">
        <v>7888.5</v>
      </c>
      <c r="J158" s="43"/>
      <c r="K158" s="43"/>
      <c r="L158" s="43">
        <f t="shared" si="60"/>
        <v>7888.5</v>
      </c>
      <c r="M158" s="43">
        <v>6342.7340000000004</v>
      </c>
      <c r="N158" s="43">
        <f t="shared" si="61"/>
        <v>-1545.7659999999996</v>
      </c>
      <c r="O158" s="43">
        <f t="shared" si="66"/>
        <v>80.404817138873057</v>
      </c>
      <c r="P158" s="43">
        <v>32001.300000000003</v>
      </c>
      <c r="Q158" s="44">
        <f t="shared" si="63"/>
        <v>0.13056622996525763</v>
      </c>
      <c r="R158" s="43">
        <f>6201897*Q158/100</f>
        <v>8097.5830992284136</v>
      </c>
      <c r="S158" s="43"/>
      <c r="T158" s="43"/>
      <c r="U158" s="43"/>
      <c r="V158" s="43"/>
      <c r="W158" s="43"/>
      <c r="X158" s="43">
        <f t="shared" si="51"/>
        <v>8097.5830992284136</v>
      </c>
      <c r="Y158" s="43">
        <v>9358</v>
      </c>
      <c r="Z158" s="43">
        <f t="shared" si="56"/>
        <v>9358</v>
      </c>
      <c r="AA158" s="43"/>
      <c r="AB158" s="43"/>
      <c r="AC158" s="43"/>
      <c r="AD158" s="43">
        <f t="shared" si="52"/>
        <v>9358</v>
      </c>
      <c r="AE158" s="43">
        <f>11934.4-2000</f>
        <v>9934.4</v>
      </c>
      <c r="AF158" s="43"/>
      <c r="AG158" s="43"/>
      <c r="AH158" s="42">
        <f t="shared" si="53"/>
        <v>9934.4</v>
      </c>
      <c r="AI158" s="41">
        <v>7538.8</v>
      </c>
      <c r="AJ158" s="40">
        <v>13450</v>
      </c>
      <c r="AK158" s="49">
        <f>11113.556-5000</f>
        <v>6113.5560000000005</v>
      </c>
      <c r="AL158" s="39">
        <f t="shared" si="54"/>
        <v>6113.5560000000005</v>
      </c>
      <c r="AM158" s="49"/>
      <c r="AN158" s="49">
        <f t="shared" si="55"/>
        <v>6113.5560000000005</v>
      </c>
    </row>
    <row r="159" spans="1:40" s="18" customFormat="1" ht="20.399999999999999" x14ac:dyDescent="0.25">
      <c r="A159" s="46">
        <v>34310</v>
      </c>
      <c r="B159" s="45" t="s">
        <v>146</v>
      </c>
      <c r="C159" s="43">
        <v>10702.3</v>
      </c>
      <c r="D159" s="43">
        <f t="shared" si="57"/>
        <v>891.85833333333323</v>
      </c>
      <c r="E159" s="43">
        <v>530.6</v>
      </c>
      <c r="F159" s="43">
        <v>355</v>
      </c>
      <c r="G159" s="43">
        <f t="shared" si="58"/>
        <v>2493.6358999999998</v>
      </c>
      <c r="H159" s="44">
        <f t="shared" si="65"/>
        <v>4.8803294826380138E-3</v>
      </c>
      <c r="I159" s="43">
        <v>1351.3</v>
      </c>
      <c r="J159" s="43"/>
      <c r="K159" s="43"/>
      <c r="L159" s="43">
        <f t="shared" si="60"/>
        <v>1351.3</v>
      </c>
      <c r="M159" s="43">
        <v>860.6</v>
      </c>
      <c r="N159" s="43">
        <f t="shared" si="61"/>
        <v>-490.69999999999993</v>
      </c>
      <c r="O159" s="43">
        <f t="shared" si="66"/>
        <v>63.686820099163775</v>
      </c>
      <c r="P159" s="43">
        <f>D159*3</f>
        <v>2675.5749999999998</v>
      </c>
      <c r="Q159" s="44">
        <f t="shared" si="63"/>
        <v>1.0916423418401568E-2</v>
      </c>
      <c r="R159" s="43">
        <f>6201897*Q159/100</f>
        <v>677.02533649314432</v>
      </c>
      <c r="S159" s="43"/>
      <c r="T159" s="43"/>
      <c r="U159" s="43"/>
      <c r="V159" s="43"/>
      <c r="W159" s="43"/>
      <c r="X159" s="43">
        <f t="shared" si="51"/>
        <v>677.02533649314432</v>
      </c>
      <c r="Y159" s="43">
        <v>898.69999999999993</v>
      </c>
      <c r="Z159" s="43">
        <f t="shared" si="56"/>
        <v>898.69999999999993</v>
      </c>
      <c r="AA159" s="43"/>
      <c r="AB159" s="43"/>
      <c r="AC159" s="43"/>
      <c r="AD159" s="43">
        <f t="shared" si="52"/>
        <v>898.69999999999993</v>
      </c>
      <c r="AE159" s="43">
        <f>2211.9-1200</f>
        <v>1011.9000000000001</v>
      </c>
      <c r="AF159" s="43"/>
      <c r="AG159" s="43"/>
      <c r="AH159" s="42">
        <f t="shared" si="53"/>
        <v>1011.9000000000001</v>
      </c>
      <c r="AI159" s="41">
        <v>919.7</v>
      </c>
      <c r="AJ159" s="40">
        <v>919.7</v>
      </c>
      <c r="AK159" s="49">
        <v>989.94736842105272</v>
      </c>
      <c r="AL159" s="39">
        <f t="shared" si="54"/>
        <v>989.94736842105272</v>
      </c>
      <c r="AM159" s="49"/>
      <c r="AN159" s="49">
        <f t="shared" si="55"/>
        <v>989.94736842105272</v>
      </c>
    </row>
    <row r="160" spans="1:40" s="18" customFormat="1" ht="20.399999999999999" x14ac:dyDescent="0.25">
      <c r="A160" s="46">
        <v>34321</v>
      </c>
      <c r="B160" s="45" t="s">
        <v>145</v>
      </c>
      <c r="C160" s="43">
        <v>1089964.2</v>
      </c>
      <c r="D160" s="43">
        <f t="shared" si="57"/>
        <v>90830.349999999991</v>
      </c>
      <c r="E160" s="43">
        <v>80027.100000000006</v>
      </c>
      <c r="F160" s="43">
        <v>82915.399999999994</v>
      </c>
      <c r="G160" s="43">
        <f t="shared" si="58"/>
        <v>253961.6586</v>
      </c>
      <c r="H160" s="44">
        <f t="shared" si="65"/>
        <v>0.89793708979758868</v>
      </c>
      <c r="I160" s="43">
        <v>118124.8</v>
      </c>
      <c r="J160" s="43"/>
      <c r="K160" s="43"/>
      <c r="L160" s="43">
        <f t="shared" si="60"/>
        <v>118124.8</v>
      </c>
      <c r="M160" s="43">
        <v>86224.9</v>
      </c>
      <c r="N160" s="43">
        <f t="shared" si="61"/>
        <v>-31899.900000000009</v>
      </c>
      <c r="O160" s="43">
        <f t="shared" si="66"/>
        <v>72.994747927615535</v>
      </c>
      <c r="P160" s="43">
        <f>D160*3</f>
        <v>272491.05</v>
      </c>
      <c r="Q160" s="44">
        <f t="shared" si="63"/>
        <v>1.1117713685936041</v>
      </c>
      <c r="R160" s="43">
        <f>6201897*Q160/100+13000</f>
        <v>81950.915155665673</v>
      </c>
      <c r="S160" s="43"/>
      <c r="T160" s="43">
        <v>5000</v>
      </c>
      <c r="U160" s="43"/>
      <c r="V160" s="43"/>
      <c r="W160" s="43"/>
      <c r="X160" s="43">
        <f t="shared" si="51"/>
        <v>86950.915155665673</v>
      </c>
      <c r="Y160" s="43">
        <v>121478.39999999999</v>
      </c>
      <c r="Z160" s="43">
        <f t="shared" si="56"/>
        <v>121478.39999999999</v>
      </c>
      <c r="AA160" s="43"/>
      <c r="AB160" s="43"/>
      <c r="AC160" s="43"/>
      <c r="AD160" s="43">
        <f t="shared" si="52"/>
        <v>121478.39999999999</v>
      </c>
      <c r="AE160" s="43">
        <f>232948.9-100000</f>
        <v>132948.9</v>
      </c>
      <c r="AF160" s="43">
        <v>50000</v>
      </c>
      <c r="AG160" s="43"/>
      <c r="AH160" s="42">
        <f t="shared" si="53"/>
        <v>182948.9</v>
      </c>
      <c r="AI160" s="41">
        <v>67418.600000000006</v>
      </c>
      <c r="AJ160" s="40">
        <v>67418.600000000006</v>
      </c>
      <c r="AK160" s="49">
        <v>65390.892857142862</v>
      </c>
      <c r="AL160" s="39">
        <f t="shared" si="54"/>
        <v>65390.892857142862</v>
      </c>
      <c r="AM160" s="49"/>
      <c r="AN160" s="49">
        <f t="shared" si="55"/>
        <v>65390.892857142862</v>
      </c>
    </row>
    <row r="161" spans="1:40" s="18" customFormat="1" ht="12.75" customHeight="1" x14ac:dyDescent="0.25">
      <c r="A161" s="46">
        <v>34110</v>
      </c>
      <c r="B161" s="45" t="s">
        <v>144</v>
      </c>
      <c r="C161" s="43">
        <v>34777.800000000003</v>
      </c>
      <c r="D161" s="43">
        <f t="shared" si="57"/>
        <v>2898.15</v>
      </c>
      <c r="E161" s="43">
        <v>2893.9</v>
      </c>
      <c r="F161" s="43">
        <v>3053.5</v>
      </c>
      <c r="G161" s="43">
        <f t="shared" si="58"/>
        <v>8103.2274000000007</v>
      </c>
      <c r="H161" s="44">
        <f t="shared" si="65"/>
        <v>3.2774696889161382E-2</v>
      </c>
      <c r="I161" s="43">
        <f>7990664.7*H161/100+279.3</f>
        <v>2898.2161348542168</v>
      </c>
      <c r="J161" s="43"/>
      <c r="K161" s="43"/>
      <c r="L161" s="43">
        <f t="shared" si="60"/>
        <v>2898.2161348542168</v>
      </c>
      <c r="M161" s="43">
        <v>2756</v>
      </c>
      <c r="N161" s="43">
        <f t="shared" si="61"/>
        <v>-142.21613485421676</v>
      </c>
      <c r="O161" s="43">
        <f t="shared" si="66"/>
        <v>95.092976912801205</v>
      </c>
      <c r="P161" s="43">
        <v>11633.800000000001</v>
      </c>
      <c r="Q161" s="44">
        <f t="shared" si="63"/>
        <v>4.7466240626781231E-2</v>
      </c>
      <c r="R161" s="43">
        <f>6201897*Q161/100</f>
        <v>2943.8073534451264</v>
      </c>
      <c r="S161" s="43"/>
      <c r="T161" s="43"/>
      <c r="U161" s="43"/>
      <c r="V161" s="43"/>
      <c r="W161" s="43"/>
      <c r="X161" s="43">
        <f t="shared" si="51"/>
        <v>2943.8073534451264</v>
      </c>
      <c r="Y161" s="43">
        <v>3239.5660000000003</v>
      </c>
      <c r="Z161" s="43">
        <f t="shared" si="56"/>
        <v>3239.5660000000003</v>
      </c>
      <c r="AA161" s="43"/>
      <c r="AB161" s="43"/>
      <c r="AC161" s="43"/>
      <c r="AD161" s="43">
        <f t="shared" si="52"/>
        <v>3239.5660000000003</v>
      </c>
      <c r="AE161" s="43">
        <f>6596.3-3000</f>
        <v>3596.3</v>
      </c>
      <c r="AF161" s="43"/>
      <c r="AG161" s="43"/>
      <c r="AH161" s="42">
        <f t="shared" si="53"/>
        <v>3596.3</v>
      </c>
      <c r="AI161" s="41">
        <v>3065.1</v>
      </c>
      <c r="AJ161" s="40">
        <v>3065.1</v>
      </c>
      <c r="AK161" s="49">
        <v>2225</v>
      </c>
      <c r="AL161" s="39">
        <f t="shared" si="54"/>
        <v>2225</v>
      </c>
      <c r="AM161" s="49"/>
      <c r="AN161" s="49">
        <f t="shared" si="55"/>
        <v>2225</v>
      </c>
    </row>
    <row r="162" spans="1:40" s="18" customFormat="1" ht="20.399999999999999" x14ac:dyDescent="0.25">
      <c r="A162" s="46">
        <v>34121</v>
      </c>
      <c r="B162" s="45" t="s">
        <v>143</v>
      </c>
      <c r="C162" s="43">
        <f>14758556+162362</f>
        <v>14920918</v>
      </c>
      <c r="D162" s="43">
        <f t="shared" si="57"/>
        <v>1243409.8333333333</v>
      </c>
      <c r="E162" s="43">
        <v>1473103.8</v>
      </c>
      <c r="F162" s="43">
        <v>1531737.8</v>
      </c>
      <c r="G162" s="43">
        <f t="shared" si="58"/>
        <v>3476573.8940000003</v>
      </c>
      <c r="H162" s="44">
        <f t="shared" si="65"/>
        <v>16.558962343199166</v>
      </c>
      <c r="I162" s="43">
        <f>7990664.7*H162/100</f>
        <v>1323171.1586443086</v>
      </c>
      <c r="J162" s="43">
        <f>1768213.2-I162</f>
        <v>445042.04135569138</v>
      </c>
      <c r="K162" s="43"/>
      <c r="L162" s="43">
        <f t="shared" si="60"/>
        <v>1768213.2</v>
      </c>
      <c r="M162" s="43">
        <v>1663488.9</v>
      </c>
      <c r="N162" s="43">
        <f t="shared" si="61"/>
        <v>-104724.30000000005</v>
      </c>
      <c r="O162" s="43">
        <f t="shared" si="66"/>
        <v>94.077394060851944</v>
      </c>
      <c r="P162" s="43">
        <v>7223967.2000000002</v>
      </c>
      <c r="Q162" s="44">
        <f t="shared" si="63"/>
        <v>29.473995203216059</v>
      </c>
      <c r="R162" s="43">
        <f>6201897*Q162/100-100000-50000</f>
        <v>1677946.8242884008</v>
      </c>
      <c r="S162" s="43"/>
      <c r="T162" s="43"/>
      <c r="U162" s="43"/>
      <c r="V162" s="43"/>
      <c r="W162" s="43"/>
      <c r="X162" s="43">
        <f t="shared" si="51"/>
        <v>1677946.8242884008</v>
      </c>
      <c r="Y162" s="43">
        <v>2311225.0009999997</v>
      </c>
      <c r="Z162" s="43">
        <f t="shared" si="56"/>
        <v>2311225.0009999997</v>
      </c>
      <c r="AA162" s="43"/>
      <c r="AB162" s="43"/>
      <c r="AC162" s="43"/>
      <c r="AD162" s="43">
        <f t="shared" ref="AD162:AD225" si="67">SUM(Z162:AC162)</f>
        <v>2311225.0009999997</v>
      </c>
      <c r="AE162" s="43">
        <f>3027372.05-400000</f>
        <v>2627372.0499999998</v>
      </c>
      <c r="AF162" s="43"/>
      <c r="AG162" s="43"/>
      <c r="AH162" s="42">
        <f t="shared" si="53"/>
        <v>2627372.0499999998</v>
      </c>
      <c r="AI162" s="41">
        <v>833901</v>
      </c>
      <c r="AJ162" s="40">
        <v>949561.2</v>
      </c>
      <c r="AK162" s="49">
        <f>1439480.9-200000-154000</f>
        <v>1085480.8999999999</v>
      </c>
      <c r="AL162" s="39">
        <f t="shared" si="54"/>
        <v>1085480.8999999999</v>
      </c>
      <c r="AM162" s="49"/>
      <c r="AN162" s="49">
        <f t="shared" si="55"/>
        <v>1085480.8999999999</v>
      </c>
    </row>
    <row r="163" spans="1:40" s="18" customFormat="1" ht="20.399999999999999" x14ac:dyDescent="0.25">
      <c r="A163" s="46">
        <v>34130</v>
      </c>
      <c r="B163" s="45" t="s">
        <v>142</v>
      </c>
      <c r="C163" s="43">
        <v>153855.5</v>
      </c>
      <c r="D163" s="43">
        <f t="shared" si="57"/>
        <v>12821.291666666666</v>
      </c>
      <c r="E163" s="43">
        <v>12211.8</v>
      </c>
      <c r="F163" s="43">
        <v>12767.9</v>
      </c>
      <c r="G163" s="43">
        <f t="shared" si="58"/>
        <v>35848.3315</v>
      </c>
      <c r="H163" s="44">
        <f t="shared" si="65"/>
        <v>0.1376571436059765</v>
      </c>
      <c r="I163" s="43">
        <f>7990664.7*H163/100+1821.6</f>
        <v>12821.320781151073</v>
      </c>
      <c r="J163" s="43"/>
      <c r="K163" s="43"/>
      <c r="L163" s="43">
        <f t="shared" si="60"/>
        <v>12821.320781151073</v>
      </c>
      <c r="M163" s="43">
        <v>12821.3</v>
      </c>
      <c r="N163" s="43">
        <f t="shared" si="61"/>
        <v>-2.0781151073606452E-2</v>
      </c>
      <c r="O163" s="43">
        <f t="shared" si="66"/>
        <v>99.999837917236235</v>
      </c>
      <c r="P163" s="43">
        <v>40970.900000000009</v>
      </c>
      <c r="Q163" s="44">
        <f t="shared" si="63"/>
        <v>0.16716245750277564</v>
      </c>
      <c r="R163" s="43">
        <f>6201897*Q163/100+2000</f>
        <v>12367.243436990917</v>
      </c>
      <c r="S163" s="43"/>
      <c r="T163" s="43"/>
      <c r="U163" s="43"/>
      <c r="V163" s="43"/>
      <c r="W163" s="43"/>
      <c r="X163" s="43">
        <f t="shared" si="51"/>
        <v>12367.243436990917</v>
      </c>
      <c r="Y163" s="43">
        <v>12633.699999999999</v>
      </c>
      <c r="Z163" s="43">
        <f t="shared" si="56"/>
        <v>12633.699999999999</v>
      </c>
      <c r="AA163" s="43"/>
      <c r="AB163" s="43"/>
      <c r="AC163" s="43"/>
      <c r="AD163" s="43">
        <f t="shared" si="67"/>
        <v>12633.699999999999</v>
      </c>
      <c r="AE163" s="43">
        <v>11357.2</v>
      </c>
      <c r="AF163" s="43">
        <v>2063.8000000000002</v>
      </c>
      <c r="AG163" s="43"/>
      <c r="AH163" s="42">
        <f t="shared" si="53"/>
        <v>13421</v>
      </c>
      <c r="AI163" s="41">
        <v>13454.6</v>
      </c>
      <c r="AJ163" s="40">
        <v>13454.6</v>
      </c>
      <c r="AK163" s="49">
        <v>12276.133333333333</v>
      </c>
      <c r="AL163" s="39">
        <f t="shared" si="54"/>
        <v>12276.133333333333</v>
      </c>
      <c r="AM163" s="49"/>
      <c r="AN163" s="49">
        <f t="shared" si="55"/>
        <v>12276.133333333333</v>
      </c>
    </row>
    <row r="164" spans="1:40" s="18" customFormat="1" ht="30.6" x14ac:dyDescent="0.25">
      <c r="A164" s="46">
        <v>34220</v>
      </c>
      <c r="B164" s="45" t="s">
        <v>141</v>
      </c>
      <c r="C164" s="43"/>
      <c r="D164" s="43"/>
      <c r="E164" s="43"/>
      <c r="F164" s="43"/>
      <c r="G164" s="43"/>
      <c r="H164" s="44"/>
      <c r="I164" s="43"/>
      <c r="J164" s="43"/>
      <c r="K164" s="43"/>
      <c r="L164" s="43"/>
      <c r="M164" s="43"/>
      <c r="N164" s="43"/>
      <c r="O164" s="43"/>
      <c r="P164" s="43"/>
      <c r="Q164" s="44"/>
      <c r="R164" s="43"/>
      <c r="S164" s="43">
        <v>385100</v>
      </c>
      <c r="T164" s="43"/>
      <c r="U164" s="43"/>
      <c r="V164" s="43"/>
      <c r="W164" s="43"/>
      <c r="X164" s="43">
        <f t="shared" si="51"/>
        <v>385100</v>
      </c>
      <c r="Y164" s="43"/>
      <c r="Z164" s="43">
        <f t="shared" si="56"/>
        <v>0</v>
      </c>
      <c r="AA164" s="43"/>
      <c r="AB164" s="43"/>
      <c r="AC164" s="43">
        <v>300000</v>
      </c>
      <c r="AD164" s="43">
        <f t="shared" si="67"/>
        <v>300000</v>
      </c>
      <c r="AE164" s="43"/>
      <c r="AF164" s="43"/>
      <c r="AG164" s="43">
        <v>190000</v>
      </c>
      <c r="AH164" s="42">
        <f t="shared" si="53"/>
        <v>190000</v>
      </c>
      <c r="AI164" s="41"/>
      <c r="AJ164" s="40">
        <v>64059</v>
      </c>
      <c r="AK164" s="49">
        <f>76375.1-24000</f>
        <v>52375.100000000006</v>
      </c>
      <c r="AL164" s="39">
        <f t="shared" si="54"/>
        <v>52375.100000000006</v>
      </c>
      <c r="AM164" s="49"/>
      <c r="AN164" s="49">
        <f t="shared" si="55"/>
        <v>52375.100000000006</v>
      </c>
    </row>
    <row r="165" spans="1:40" s="18" customFormat="1" ht="13.2" x14ac:dyDescent="0.25">
      <c r="A165" s="48">
        <v>34911</v>
      </c>
      <c r="B165" s="45" t="s">
        <v>140</v>
      </c>
      <c r="C165" s="43">
        <v>45000</v>
      </c>
      <c r="D165" s="43">
        <f>C165/12</f>
        <v>3750</v>
      </c>
      <c r="E165" s="43"/>
      <c r="F165" s="43"/>
      <c r="G165" s="43">
        <f>C165*23.3/100</f>
        <v>10485</v>
      </c>
      <c r="H165" s="44">
        <f>(E165+F165)/(8725103.2+9421212.6)*100</f>
        <v>0</v>
      </c>
      <c r="I165" s="43">
        <v>6500</v>
      </c>
      <c r="J165" s="43"/>
      <c r="K165" s="43"/>
      <c r="L165" s="43">
        <f>SUM(I165:K165)</f>
        <v>6500</v>
      </c>
      <c r="M165" s="43">
        <v>6500</v>
      </c>
      <c r="N165" s="43">
        <f>M165-L165</f>
        <v>0</v>
      </c>
      <c r="O165" s="43">
        <f>M165/L165*100</f>
        <v>100</v>
      </c>
      <c r="P165" s="43">
        <v>7000</v>
      </c>
      <c r="Q165" s="44">
        <f>P165/24509630.1*100</f>
        <v>2.8560202546671645E-2</v>
      </c>
      <c r="R165" s="43">
        <f>6201897*Q165/100-1771.3</f>
        <v>-2.565506404766893E-2</v>
      </c>
      <c r="S165" s="43"/>
      <c r="T165" s="43"/>
      <c r="U165" s="43">
        <v>6500</v>
      </c>
      <c r="V165" s="43"/>
      <c r="W165" s="43"/>
      <c r="X165" s="43">
        <f t="shared" si="51"/>
        <v>6499.9743449359521</v>
      </c>
      <c r="Y165" s="43"/>
      <c r="Z165" s="43">
        <f t="shared" si="56"/>
        <v>0</v>
      </c>
      <c r="AA165" s="43"/>
      <c r="AB165" s="43"/>
      <c r="AC165" s="43">
        <v>1500</v>
      </c>
      <c r="AD165" s="43">
        <f t="shared" si="67"/>
        <v>1500</v>
      </c>
      <c r="AE165" s="43"/>
      <c r="AF165" s="43"/>
      <c r="AG165" s="43"/>
      <c r="AH165" s="42">
        <f t="shared" si="53"/>
        <v>0</v>
      </c>
      <c r="AI165" s="41">
        <f>6000</f>
        <v>6000</v>
      </c>
      <c r="AJ165" s="40">
        <v>0</v>
      </c>
      <c r="AK165" s="49">
        <v>3000</v>
      </c>
      <c r="AL165" s="39">
        <f t="shared" si="54"/>
        <v>3000</v>
      </c>
      <c r="AM165" s="49"/>
      <c r="AN165" s="49">
        <f t="shared" si="55"/>
        <v>3000</v>
      </c>
    </row>
    <row r="166" spans="1:40" s="18" customFormat="1" ht="20.399999999999999" x14ac:dyDescent="0.25">
      <c r="A166" s="48">
        <v>36110</v>
      </c>
      <c r="B166" s="45" t="s">
        <v>139</v>
      </c>
      <c r="C166" s="43"/>
      <c r="D166" s="43"/>
      <c r="E166" s="43"/>
      <c r="F166" s="43"/>
      <c r="G166" s="43"/>
      <c r="H166" s="44"/>
      <c r="I166" s="43"/>
      <c r="J166" s="43"/>
      <c r="K166" s="43"/>
      <c r="L166" s="43"/>
      <c r="M166" s="43"/>
      <c r="N166" s="43"/>
      <c r="O166" s="43"/>
      <c r="P166" s="43"/>
      <c r="Q166" s="44"/>
      <c r="R166" s="43"/>
      <c r="S166" s="43"/>
      <c r="T166" s="43"/>
      <c r="U166" s="43"/>
      <c r="V166" s="43"/>
      <c r="W166" s="43"/>
      <c r="X166" s="43"/>
      <c r="Y166" s="43"/>
      <c r="Z166" s="43"/>
      <c r="AA166" s="43">
        <v>6076</v>
      </c>
      <c r="AB166" s="43"/>
      <c r="AC166" s="43"/>
      <c r="AD166" s="43">
        <f t="shared" si="67"/>
        <v>6076</v>
      </c>
      <c r="AE166" s="43">
        <v>7500</v>
      </c>
      <c r="AF166" s="43"/>
      <c r="AG166" s="43"/>
      <c r="AH166" s="42">
        <f t="shared" si="53"/>
        <v>7500</v>
      </c>
      <c r="AI166" s="41">
        <f>7000</f>
        <v>7000</v>
      </c>
      <c r="AJ166" s="40">
        <v>5800</v>
      </c>
      <c r="AK166" s="49">
        <v>7197.2</v>
      </c>
      <c r="AL166" s="39">
        <f t="shared" si="54"/>
        <v>7197.2</v>
      </c>
      <c r="AM166" s="49"/>
      <c r="AN166" s="49">
        <f t="shared" si="55"/>
        <v>7197.2</v>
      </c>
    </row>
    <row r="167" spans="1:40" s="18" customFormat="1" ht="20.399999999999999" x14ac:dyDescent="0.25">
      <c r="A167" s="46">
        <v>36121</v>
      </c>
      <c r="B167" s="45" t="s">
        <v>138</v>
      </c>
      <c r="C167" s="43">
        <v>651805.6</v>
      </c>
      <c r="D167" s="43">
        <f t="shared" ref="D167:D230" si="68">C167/12</f>
        <v>54317.133333333331</v>
      </c>
      <c r="E167" s="43">
        <v>28800.7</v>
      </c>
      <c r="F167" s="43">
        <v>79833.7</v>
      </c>
      <c r="G167" s="43">
        <f t="shared" ref="G167:G230" si="69">C167*23.3/100</f>
        <v>151870.70480000001</v>
      </c>
      <c r="H167" s="44">
        <f t="shared" ref="H167:H230" si="70">(E167+F167)/(8725103.2+9421212.6)*100</f>
        <v>0.59865815847864834</v>
      </c>
      <c r="I167" s="43">
        <f>7990664.7*H167/100+6480.3</f>
        <v>54317.066143223412</v>
      </c>
      <c r="J167" s="43"/>
      <c r="K167" s="43"/>
      <c r="L167" s="43">
        <f t="shared" ref="L167:L230" si="71">SUM(I167:K167)</f>
        <v>54317.066143223412</v>
      </c>
      <c r="M167" s="43">
        <v>39110.400000000001</v>
      </c>
      <c r="N167" s="43">
        <f t="shared" ref="N167:N230" si="72">M167-L167</f>
        <v>-15206.66614322341</v>
      </c>
      <c r="O167" s="43">
        <f t="shared" ref="O167:O207" si="73">M167/L167*100</f>
        <v>72.003888974550975</v>
      </c>
      <c r="P167" s="43">
        <v>183546.39999999997</v>
      </c>
      <c r="Q167" s="44">
        <f t="shared" ref="Q167:Q230" si="74">P167/24509630.1*100</f>
        <v>0.74887462295891583</v>
      </c>
      <c r="R167" s="43">
        <f>6201897*Q167/100</f>
        <v>46444.432775050307</v>
      </c>
      <c r="S167" s="43"/>
      <c r="T167" s="43"/>
      <c r="U167" s="43"/>
      <c r="V167" s="43"/>
      <c r="W167" s="43"/>
      <c r="X167" s="43">
        <f>SUM(R167:V167)</f>
        <v>46444.432775050307</v>
      </c>
      <c r="Y167" s="43">
        <v>25516.5</v>
      </c>
      <c r="Z167" s="43">
        <f t="shared" ref="Z167:Z173" si="75">Y167</f>
        <v>25516.5</v>
      </c>
      <c r="AA167" s="43">
        <v>16000</v>
      </c>
      <c r="AB167" s="43"/>
      <c r="AC167" s="43"/>
      <c r="AD167" s="43">
        <f t="shared" si="67"/>
        <v>41516.5</v>
      </c>
      <c r="AE167" s="43">
        <v>108449</v>
      </c>
      <c r="AF167" s="43"/>
      <c r="AG167" s="43">
        <v>6870.2</v>
      </c>
      <c r="AH167" s="42">
        <f t="shared" si="53"/>
        <v>115319.2</v>
      </c>
      <c r="AI167" s="41">
        <f>54886.8-4364.9</f>
        <v>50521.9</v>
      </c>
      <c r="AJ167" s="40">
        <v>44221.9</v>
      </c>
      <c r="AK167" s="49">
        <f>47324.1333333333-7000</f>
        <v>40324.133333333302</v>
      </c>
      <c r="AL167" s="39">
        <f t="shared" si="54"/>
        <v>40324.133333333302</v>
      </c>
      <c r="AM167" s="49"/>
      <c r="AN167" s="49">
        <f t="shared" si="55"/>
        <v>40324.133333333302</v>
      </c>
    </row>
    <row r="168" spans="1:40" s="18" customFormat="1" ht="20.399999999999999" x14ac:dyDescent="0.25">
      <c r="A168" s="46">
        <v>36131</v>
      </c>
      <c r="B168" s="45" t="s">
        <v>137</v>
      </c>
      <c r="C168" s="43">
        <v>8535441.6999999993</v>
      </c>
      <c r="D168" s="43">
        <f t="shared" si="68"/>
        <v>711286.80833333323</v>
      </c>
      <c r="E168" s="43">
        <v>677392.9</v>
      </c>
      <c r="F168" s="43">
        <v>561284.1</v>
      </c>
      <c r="G168" s="43">
        <f t="shared" si="69"/>
        <v>1988757.9160999998</v>
      </c>
      <c r="H168" s="44">
        <f t="shared" si="70"/>
        <v>6.8260522612529435</v>
      </c>
      <c r="I168" s="43">
        <f>7990664.7*H168/100+45372.4</f>
        <v>590819.34844349069</v>
      </c>
      <c r="J168" s="43"/>
      <c r="K168" s="43"/>
      <c r="L168" s="43">
        <f t="shared" si="71"/>
        <v>590819.34844349069</v>
      </c>
      <c r="M168" s="43">
        <v>560273.80000000005</v>
      </c>
      <c r="N168" s="43">
        <f t="shared" si="72"/>
        <v>-30545.548443490639</v>
      </c>
      <c r="O168" s="43">
        <f t="shared" si="73"/>
        <v>94.829968157955108</v>
      </c>
      <c r="P168" s="43">
        <v>1800675</v>
      </c>
      <c r="Q168" s="44">
        <f t="shared" si="74"/>
        <v>7.3468061029611373</v>
      </c>
      <c r="R168" s="43">
        <f>6201897*Q168/100+100000</f>
        <v>555641.34729536367</v>
      </c>
      <c r="S168" s="43">
        <v>12200</v>
      </c>
      <c r="T168" s="43">
        <v>185160.5</v>
      </c>
      <c r="U168" s="43"/>
      <c r="V168" s="43"/>
      <c r="W168" s="43"/>
      <c r="X168" s="43">
        <f>SUM(R168:V168)</f>
        <v>753001.84729536367</v>
      </c>
      <c r="Y168" s="43">
        <v>600225</v>
      </c>
      <c r="Z168" s="43">
        <f t="shared" si="75"/>
        <v>600225</v>
      </c>
      <c r="AA168" s="43">
        <f>-6076+6076</f>
        <v>0</v>
      </c>
      <c r="AB168" s="43"/>
      <c r="AC168" s="43"/>
      <c r="AD168" s="43">
        <f t="shared" si="67"/>
        <v>600225</v>
      </c>
      <c r="AE168" s="43">
        <v>463388</v>
      </c>
      <c r="AF168" s="43"/>
      <c r="AG168" s="43">
        <v>65983.7</v>
      </c>
      <c r="AH168" s="42">
        <f t="shared" si="53"/>
        <v>529371.69999999995</v>
      </c>
      <c r="AI168" s="41">
        <f>600163.5+4364.9</f>
        <v>604528.4</v>
      </c>
      <c r="AJ168" s="40">
        <v>612028.4</v>
      </c>
      <c r="AK168" s="49">
        <f>991221.7-420000</f>
        <v>571221.69999999995</v>
      </c>
      <c r="AL168" s="39">
        <f t="shared" si="54"/>
        <v>571221.69999999995</v>
      </c>
      <c r="AM168" s="49"/>
      <c r="AN168" s="49">
        <f t="shared" si="55"/>
        <v>571221.69999999995</v>
      </c>
    </row>
    <row r="169" spans="1:40" s="18" customFormat="1" ht="13.2" x14ac:dyDescent="0.25">
      <c r="A169" s="46">
        <v>37110</v>
      </c>
      <c r="B169" s="45" t="s">
        <v>136</v>
      </c>
      <c r="C169" s="43">
        <v>24335.4</v>
      </c>
      <c r="D169" s="43">
        <f t="shared" si="68"/>
        <v>2027.95</v>
      </c>
      <c r="E169" s="43">
        <v>1941.5</v>
      </c>
      <c r="F169" s="43">
        <v>2057.1999999999998</v>
      </c>
      <c r="G169" s="43">
        <f t="shared" si="69"/>
        <v>5670.1482000000005</v>
      </c>
      <c r="H169" s="44">
        <f t="shared" si="70"/>
        <v>2.2035877938374689E-2</v>
      </c>
      <c r="I169" s="43">
        <f>7990664.7*H169/100+267.2</f>
        <v>2028.0131197567941</v>
      </c>
      <c r="J169" s="43"/>
      <c r="K169" s="43"/>
      <c r="L169" s="43">
        <f t="shared" si="71"/>
        <v>2028.0131197567941</v>
      </c>
      <c r="M169" s="43">
        <v>1518.7</v>
      </c>
      <c r="N169" s="43">
        <f t="shared" si="72"/>
        <v>-509.31311975679409</v>
      </c>
      <c r="O169" s="43">
        <f t="shared" si="73"/>
        <v>74.886103309929638</v>
      </c>
      <c r="P169" s="43">
        <v>6287.9</v>
      </c>
      <c r="Q169" s="44">
        <f t="shared" si="74"/>
        <v>2.565481394188809E-2</v>
      </c>
      <c r="R169" s="43">
        <f>6201897*Q169/100</f>
        <v>1591.0851362175392</v>
      </c>
      <c r="S169" s="43"/>
      <c r="T169" s="43"/>
      <c r="U169" s="43"/>
      <c r="V169" s="43"/>
      <c r="W169" s="43"/>
      <c r="X169" s="43">
        <f>SUM(R169:V169)</f>
        <v>1591.0851362175392</v>
      </c>
      <c r="Y169" s="43">
        <v>1665.6</v>
      </c>
      <c r="Z169" s="43">
        <f t="shared" si="75"/>
        <v>1665.6</v>
      </c>
      <c r="AA169" s="43"/>
      <c r="AB169" s="43"/>
      <c r="AC169" s="43"/>
      <c r="AD169" s="43">
        <f t="shared" si="67"/>
        <v>1665.6</v>
      </c>
      <c r="AE169" s="43">
        <f>2521.02-500</f>
        <v>2021.02</v>
      </c>
      <c r="AF169" s="43"/>
      <c r="AG169" s="43"/>
      <c r="AH169" s="42">
        <f t="shared" si="53"/>
        <v>2021.02</v>
      </c>
      <c r="AI169" s="41">
        <f>2057.4+690</f>
        <v>2747.4</v>
      </c>
      <c r="AJ169" s="40">
        <v>2974.8</v>
      </c>
      <c r="AK169" s="49">
        <f>2737.86666666667-1000</f>
        <v>1737.86666666667</v>
      </c>
      <c r="AL169" s="39">
        <f t="shared" si="54"/>
        <v>1737.86666666667</v>
      </c>
      <c r="AM169" s="49"/>
      <c r="AN169" s="49">
        <f t="shared" si="55"/>
        <v>1737.86666666667</v>
      </c>
    </row>
    <row r="170" spans="1:40" s="18" customFormat="1" ht="13.5" customHeight="1" x14ac:dyDescent="0.25">
      <c r="A170" s="46">
        <v>37121</v>
      </c>
      <c r="B170" s="45" t="s">
        <v>135</v>
      </c>
      <c r="C170" s="43">
        <f>2593806.7+235784.3+7860.8</f>
        <v>2837451.8</v>
      </c>
      <c r="D170" s="43">
        <f t="shared" si="68"/>
        <v>236454.31666666665</v>
      </c>
      <c r="E170" s="43">
        <v>138579.79999999999</v>
      </c>
      <c r="F170" s="43">
        <v>175152.8</v>
      </c>
      <c r="G170" s="43">
        <f t="shared" si="69"/>
        <v>661126.26939999999</v>
      </c>
      <c r="H170" s="44">
        <f t="shared" si="70"/>
        <v>1.7289052139167556</v>
      </c>
      <c r="I170" s="43">
        <f>7990664.7*H170/100</f>
        <v>138151.01862490567</v>
      </c>
      <c r="J170" s="43">
        <v>20950</v>
      </c>
      <c r="K170" s="43"/>
      <c r="L170" s="43">
        <f t="shared" si="71"/>
        <v>159101.01862490567</v>
      </c>
      <c r="M170" s="43">
        <v>119107.2</v>
      </c>
      <c r="N170" s="43">
        <f t="shared" si="72"/>
        <v>-39993.818624905674</v>
      </c>
      <c r="O170" s="43">
        <f t="shared" si="73"/>
        <v>74.862625663513484</v>
      </c>
      <c r="P170" s="43">
        <v>758439.39999999991</v>
      </c>
      <c r="Q170" s="44">
        <f t="shared" si="74"/>
        <v>3.0944546976251588</v>
      </c>
      <c r="R170" s="43">
        <f>6201897*Q170/100-50000</f>
        <v>141914.89305837377</v>
      </c>
      <c r="S170" s="43"/>
      <c r="T170" s="43">
        <v>50000</v>
      </c>
      <c r="U170" s="43"/>
      <c r="V170" s="43"/>
      <c r="W170" s="43"/>
      <c r="X170" s="43">
        <f>SUM(R170:V170)</f>
        <v>191914.89305837377</v>
      </c>
      <c r="Y170" s="43">
        <v>139600.9</v>
      </c>
      <c r="Z170" s="43">
        <f t="shared" si="75"/>
        <v>139600.9</v>
      </c>
      <c r="AA170" s="43"/>
      <c r="AB170" s="43">
        <v>50000</v>
      </c>
      <c r="AC170" s="43"/>
      <c r="AD170" s="43">
        <f t="shared" si="67"/>
        <v>189600.9</v>
      </c>
      <c r="AE170" s="43">
        <f>217310.3-25000</f>
        <v>192310.3</v>
      </c>
      <c r="AF170" s="43"/>
      <c r="AG170" s="43"/>
      <c r="AH170" s="42">
        <f t="shared" si="53"/>
        <v>192310.3</v>
      </c>
      <c r="AI170" s="41">
        <v>200089.1</v>
      </c>
      <c r="AJ170" s="40">
        <v>237643.2</v>
      </c>
      <c r="AK170" s="49">
        <f>250405.91-50000-64000</f>
        <v>136405.91</v>
      </c>
      <c r="AL170" s="39">
        <f t="shared" si="54"/>
        <v>136405.91</v>
      </c>
      <c r="AM170" s="49"/>
      <c r="AN170" s="49">
        <f t="shared" si="55"/>
        <v>136405.91</v>
      </c>
    </row>
    <row r="171" spans="1:40" s="18" customFormat="1" ht="20.399999999999999" x14ac:dyDescent="0.25">
      <c r="A171" s="46">
        <v>38110</v>
      </c>
      <c r="B171" s="45" t="s">
        <v>134</v>
      </c>
      <c r="C171" s="43">
        <v>43753.2</v>
      </c>
      <c r="D171" s="43">
        <f t="shared" si="68"/>
        <v>3646.1</v>
      </c>
      <c r="E171" s="43">
        <v>2874.3</v>
      </c>
      <c r="F171" s="43">
        <v>2858.5</v>
      </c>
      <c r="G171" s="43">
        <f t="shared" si="69"/>
        <v>10194.4956</v>
      </c>
      <c r="H171" s="44">
        <f t="shared" si="70"/>
        <v>3.1592087689777781E-2</v>
      </c>
      <c r="I171" s="43">
        <f>7990664.7*H171/100+342</f>
        <v>2866.4177990201188</v>
      </c>
      <c r="J171" s="43"/>
      <c r="K171" s="43"/>
      <c r="L171" s="43">
        <f t="shared" si="71"/>
        <v>2866.4177990201188</v>
      </c>
      <c r="M171" s="43">
        <v>2866.4</v>
      </c>
      <c r="N171" s="43">
        <f t="shared" si="72"/>
        <v>-1.779902011867307E-2</v>
      </c>
      <c r="O171" s="43">
        <f t="shared" si="73"/>
        <v>99.999379050042009</v>
      </c>
      <c r="P171" s="43">
        <v>11776.099999999999</v>
      </c>
      <c r="Q171" s="44">
        <f t="shared" si="74"/>
        <v>4.8046828744265697E-2</v>
      </c>
      <c r="R171" s="43">
        <f>6201897*Q171/100</f>
        <v>2979.8148304857518</v>
      </c>
      <c r="S171" s="43"/>
      <c r="T171" s="43"/>
      <c r="U171" s="43"/>
      <c r="V171" s="43"/>
      <c r="W171" s="43"/>
      <c r="X171" s="43">
        <f>SUM(R171:V171)</f>
        <v>2979.8148304857518</v>
      </c>
      <c r="Y171" s="43">
        <v>2945.7340000000004</v>
      </c>
      <c r="Z171" s="43">
        <f t="shared" si="75"/>
        <v>2945.7340000000004</v>
      </c>
      <c r="AA171" s="43"/>
      <c r="AB171" s="43"/>
      <c r="AC171" s="43"/>
      <c r="AD171" s="43">
        <f t="shared" si="67"/>
        <v>2945.7340000000004</v>
      </c>
      <c r="AE171" s="43">
        <f>5679.7-2500</f>
        <v>3179.7</v>
      </c>
      <c r="AF171" s="43"/>
      <c r="AG171" s="43"/>
      <c r="AH171" s="42">
        <f t="shared" si="53"/>
        <v>3179.7</v>
      </c>
      <c r="AI171" s="41">
        <v>3346.1</v>
      </c>
      <c r="AJ171" s="40">
        <v>3846.1</v>
      </c>
      <c r="AK171" s="49">
        <v>3059.2</v>
      </c>
      <c r="AL171" s="39">
        <f t="shared" si="54"/>
        <v>3059.2</v>
      </c>
      <c r="AM171" s="49"/>
      <c r="AN171" s="49">
        <f t="shared" si="55"/>
        <v>3059.2</v>
      </c>
    </row>
    <row r="172" spans="1:40" s="18" customFormat="1" ht="20.399999999999999" x14ac:dyDescent="0.25">
      <c r="A172" s="46">
        <v>38121</v>
      </c>
      <c r="B172" s="45" t="s">
        <v>133</v>
      </c>
      <c r="C172" s="43">
        <v>8190516.0999999996</v>
      </c>
      <c r="D172" s="43">
        <f t="shared" si="68"/>
        <v>682543.0083333333</v>
      </c>
      <c r="E172" s="43">
        <v>677020</v>
      </c>
      <c r="F172" s="43">
        <v>652154.4</v>
      </c>
      <c r="G172" s="43">
        <f t="shared" si="69"/>
        <v>1908390.2512999999</v>
      </c>
      <c r="H172" s="44">
        <f t="shared" si="70"/>
        <v>7.3247617568740875</v>
      </c>
      <c r="I172" s="43">
        <f>7990664.7*H172/100+97245.8</f>
        <v>682542.95206563757</v>
      </c>
      <c r="J172" s="43"/>
      <c r="K172" s="43"/>
      <c r="L172" s="43">
        <f t="shared" si="71"/>
        <v>682542.95206563757</v>
      </c>
      <c r="M172" s="43">
        <v>655670.4</v>
      </c>
      <c r="N172" s="43">
        <f t="shared" si="72"/>
        <v>-26872.552065637545</v>
      </c>
      <c r="O172" s="43">
        <f t="shared" si="73"/>
        <v>96.062877510593154</v>
      </c>
      <c r="P172" s="43">
        <v>2160521.5</v>
      </c>
      <c r="Q172" s="44">
        <f t="shared" si="74"/>
        <v>8.8149902352055491</v>
      </c>
      <c r="R172" s="43">
        <f>6201897*Q172/100+115000</f>
        <v>661696.61494750588</v>
      </c>
      <c r="S172" s="43">
        <v>101512.1</v>
      </c>
      <c r="T172" s="43"/>
      <c r="U172" s="43"/>
      <c r="V172" s="43"/>
      <c r="W172" s="43">
        <v>8914.4</v>
      </c>
      <c r="X172" s="43">
        <f>SUM(R172:V172)+W172</f>
        <v>772123.11494750588</v>
      </c>
      <c r="Y172" s="43">
        <v>706529.598</v>
      </c>
      <c r="Z172" s="43">
        <f t="shared" si="75"/>
        <v>706529.598</v>
      </c>
      <c r="AA172" s="43"/>
      <c r="AB172" s="43"/>
      <c r="AC172" s="43"/>
      <c r="AD172" s="43">
        <f t="shared" si="67"/>
        <v>706529.598</v>
      </c>
      <c r="AE172" s="43">
        <v>755797.3</v>
      </c>
      <c r="AF172" s="43"/>
      <c r="AG172" s="43"/>
      <c r="AH172" s="42">
        <f t="shared" si="53"/>
        <v>755797.3</v>
      </c>
      <c r="AI172" s="41">
        <v>715765</v>
      </c>
      <c r="AJ172" s="40">
        <v>795184.8</v>
      </c>
      <c r="AK172" s="49">
        <f>612000-43000</f>
        <v>569000</v>
      </c>
      <c r="AL172" s="39">
        <f t="shared" si="54"/>
        <v>569000</v>
      </c>
      <c r="AM172" s="49"/>
      <c r="AN172" s="49">
        <f t="shared" si="55"/>
        <v>569000</v>
      </c>
    </row>
    <row r="173" spans="1:40" s="18" customFormat="1" ht="20.399999999999999" x14ac:dyDescent="0.25">
      <c r="A173" s="46">
        <v>39120</v>
      </c>
      <c r="B173" s="45" t="s">
        <v>132</v>
      </c>
      <c r="C173" s="43">
        <v>13497.3</v>
      </c>
      <c r="D173" s="43">
        <f t="shared" si="68"/>
        <v>1124.7749999999999</v>
      </c>
      <c r="E173" s="43">
        <v>1070.3</v>
      </c>
      <c r="F173" s="43">
        <v>1086.3</v>
      </c>
      <c r="G173" s="43">
        <f t="shared" si="69"/>
        <v>3144.8708999999999</v>
      </c>
      <c r="H173" s="44">
        <f t="shared" si="70"/>
        <v>1.1884506054942569E-2</v>
      </c>
      <c r="I173" s="43">
        <v>1207.3</v>
      </c>
      <c r="J173" s="43"/>
      <c r="K173" s="43"/>
      <c r="L173" s="43">
        <f t="shared" si="71"/>
        <v>1207.3</v>
      </c>
      <c r="M173" s="43">
        <v>1203.2</v>
      </c>
      <c r="N173" s="43">
        <f t="shared" si="72"/>
        <v>-4.0999999999999091</v>
      </c>
      <c r="O173" s="43">
        <f t="shared" si="73"/>
        <v>99.660399237969031</v>
      </c>
      <c r="P173" s="43">
        <v>4843.8000000000011</v>
      </c>
      <c r="Q173" s="44">
        <f t="shared" si="74"/>
        <v>1.9762844156509734E-2</v>
      </c>
      <c r="R173" s="43">
        <f>6201897*Q173/100</f>
        <v>1225.6712388572525</v>
      </c>
      <c r="S173" s="43"/>
      <c r="T173" s="43"/>
      <c r="U173" s="43"/>
      <c r="V173" s="43"/>
      <c r="W173" s="43"/>
      <c r="X173" s="43">
        <f t="shared" ref="X173:X236" si="76">SUM(R173:V173)</f>
        <v>1225.6712388572525</v>
      </c>
      <c r="Y173" s="43">
        <v>1457.932</v>
      </c>
      <c r="Z173" s="43">
        <f t="shared" si="75"/>
        <v>1457.932</v>
      </c>
      <c r="AA173" s="43"/>
      <c r="AB173" s="43"/>
      <c r="AC173" s="43"/>
      <c r="AD173" s="43">
        <f t="shared" si="67"/>
        <v>1457.932</v>
      </c>
      <c r="AE173" s="43">
        <f>3230.2-1500</f>
        <v>1730.1999999999998</v>
      </c>
      <c r="AF173" s="43"/>
      <c r="AG173" s="43"/>
      <c r="AH173" s="42">
        <f t="shared" si="53"/>
        <v>1730.1999999999998</v>
      </c>
      <c r="AI173" s="41">
        <v>1125</v>
      </c>
      <c r="AJ173" s="40">
        <v>1387.9</v>
      </c>
      <c r="AK173" s="49">
        <v>1317.6</v>
      </c>
      <c r="AL173" s="39">
        <f t="shared" si="54"/>
        <v>1317.6</v>
      </c>
      <c r="AM173" s="49"/>
      <c r="AN173" s="49">
        <f t="shared" si="55"/>
        <v>1317.6</v>
      </c>
    </row>
    <row r="174" spans="1:40" s="18" customFormat="1" ht="40.799999999999997" x14ac:dyDescent="0.25">
      <c r="A174" s="46">
        <v>40120</v>
      </c>
      <c r="B174" s="45" t="s">
        <v>131</v>
      </c>
      <c r="C174" s="43">
        <v>739.4</v>
      </c>
      <c r="D174" s="43">
        <f t="shared" si="68"/>
        <v>61.616666666666667</v>
      </c>
      <c r="E174" s="43">
        <v>45.6</v>
      </c>
      <c r="F174" s="43">
        <v>45.6</v>
      </c>
      <c r="G174" s="43">
        <f t="shared" si="69"/>
        <v>172.28020000000001</v>
      </c>
      <c r="H174" s="44">
        <f t="shared" si="70"/>
        <v>5.02581355935622E-4</v>
      </c>
      <c r="I174" s="43">
        <v>93.7</v>
      </c>
      <c r="J174" s="43"/>
      <c r="K174" s="43"/>
      <c r="L174" s="43">
        <f t="shared" si="71"/>
        <v>93.7</v>
      </c>
      <c r="M174" s="43">
        <v>93.65</v>
      </c>
      <c r="N174" s="43">
        <f t="shared" si="72"/>
        <v>-4.9999999999997158E-2</v>
      </c>
      <c r="O174" s="43">
        <f t="shared" si="73"/>
        <v>99.946638207043762</v>
      </c>
      <c r="P174" s="43">
        <v>177.00000000000003</v>
      </c>
      <c r="Q174" s="44">
        <f t="shared" si="74"/>
        <v>7.2216512153726884E-4</v>
      </c>
      <c r="R174" s="43">
        <f>6201897*Q174/100</f>
        <v>44.78793700766623</v>
      </c>
      <c r="S174" s="43"/>
      <c r="T174" s="43"/>
      <c r="U174" s="43"/>
      <c r="V174" s="43"/>
      <c r="W174" s="43"/>
      <c r="X174" s="43">
        <f t="shared" si="76"/>
        <v>44.78793700766623</v>
      </c>
      <c r="Y174" s="43"/>
      <c r="Z174" s="43">
        <f>D174</f>
        <v>61.616666666666667</v>
      </c>
      <c r="AA174" s="43"/>
      <c r="AB174" s="43"/>
      <c r="AC174" s="43"/>
      <c r="AD174" s="43">
        <f t="shared" si="67"/>
        <v>61.616666666666667</v>
      </c>
      <c r="AE174" s="43">
        <v>70.599999999999994</v>
      </c>
      <c r="AF174" s="43"/>
      <c r="AG174" s="43"/>
      <c r="AH174" s="42">
        <f t="shared" si="53"/>
        <v>70.599999999999994</v>
      </c>
      <c r="AI174" s="41">
        <v>62</v>
      </c>
      <c r="AJ174" s="40">
        <v>62</v>
      </c>
      <c r="AK174" s="49">
        <v>67.95</v>
      </c>
      <c r="AL174" s="39">
        <f t="shared" si="54"/>
        <v>67.95</v>
      </c>
      <c r="AM174" s="49"/>
      <c r="AN174" s="49">
        <f t="shared" si="55"/>
        <v>67.95</v>
      </c>
    </row>
    <row r="175" spans="1:40" s="18" customFormat="1" ht="20.399999999999999" x14ac:dyDescent="0.25">
      <c r="A175" s="46">
        <v>41110</v>
      </c>
      <c r="B175" s="45" t="s">
        <v>130</v>
      </c>
      <c r="C175" s="43">
        <v>41967.3</v>
      </c>
      <c r="D175" s="43">
        <f t="shared" si="68"/>
        <v>3497.2750000000001</v>
      </c>
      <c r="E175" s="43">
        <v>1778.3</v>
      </c>
      <c r="F175" s="43">
        <v>2928.9</v>
      </c>
      <c r="G175" s="43">
        <f t="shared" si="69"/>
        <v>9778.3809000000001</v>
      </c>
      <c r="H175" s="44">
        <f t="shared" si="70"/>
        <v>2.5940251739694734E-2</v>
      </c>
      <c r="I175" s="43">
        <f>7990664.7*H175/100</f>
        <v>2072.7985388549232</v>
      </c>
      <c r="J175" s="43"/>
      <c r="K175" s="43"/>
      <c r="L175" s="43">
        <f t="shared" si="71"/>
        <v>2072.7985388549232</v>
      </c>
      <c r="M175" s="43">
        <v>2072.8000000000002</v>
      </c>
      <c r="N175" s="43">
        <f t="shared" si="72"/>
        <v>1.4611450769734802E-3</v>
      </c>
      <c r="O175" s="43">
        <f t="shared" si="73"/>
        <v>100.00007049141774</v>
      </c>
      <c r="P175" s="43">
        <v>11642.1</v>
      </c>
      <c r="Q175" s="44">
        <f t="shared" si="74"/>
        <v>4.7500104866943706E-2</v>
      </c>
      <c r="R175" s="43">
        <f>6201897*Q175/100-1000</f>
        <v>1945.907578739836</v>
      </c>
      <c r="S175" s="43">
        <v>1265.8</v>
      </c>
      <c r="T175" s="43"/>
      <c r="U175" s="43"/>
      <c r="V175" s="43"/>
      <c r="W175" s="43"/>
      <c r="X175" s="43">
        <f t="shared" si="76"/>
        <v>3211.7075787398362</v>
      </c>
      <c r="Y175" s="43">
        <v>1922.6659999999999</v>
      </c>
      <c r="Z175" s="43">
        <f t="shared" ref="Z175:Z206" si="77">Y175</f>
        <v>1922.6659999999999</v>
      </c>
      <c r="AA175" s="43"/>
      <c r="AB175" s="43"/>
      <c r="AC175" s="43">
        <v>1858.2</v>
      </c>
      <c r="AD175" s="43">
        <f t="shared" si="67"/>
        <v>3780.866</v>
      </c>
      <c r="AE175" s="43">
        <v>1947.5</v>
      </c>
      <c r="AF175" s="43">
        <v>880</v>
      </c>
      <c r="AG175" s="43"/>
      <c r="AH175" s="42">
        <f t="shared" si="53"/>
        <v>2827.5</v>
      </c>
      <c r="AI175" s="41">
        <v>2862.2</v>
      </c>
      <c r="AJ175" s="40">
        <v>2556.6999999999998</v>
      </c>
      <c r="AK175" s="49">
        <v>2582.6285714285718</v>
      </c>
      <c r="AL175" s="39">
        <f t="shared" si="54"/>
        <v>2582.6285714285718</v>
      </c>
      <c r="AM175" s="49"/>
      <c r="AN175" s="49">
        <f t="shared" si="55"/>
        <v>2582.6285714285718</v>
      </c>
    </row>
    <row r="176" spans="1:40" s="18" customFormat="1" ht="20.399999999999999" x14ac:dyDescent="0.25">
      <c r="A176" s="46">
        <v>41121</v>
      </c>
      <c r="B176" s="45" t="s">
        <v>129</v>
      </c>
      <c r="C176" s="43">
        <v>182789.2</v>
      </c>
      <c r="D176" s="43">
        <f t="shared" si="68"/>
        <v>15232.433333333334</v>
      </c>
      <c r="E176" s="43">
        <v>6376.5</v>
      </c>
      <c r="F176" s="43">
        <v>8986</v>
      </c>
      <c r="G176" s="43">
        <f t="shared" si="69"/>
        <v>42589.883600000001</v>
      </c>
      <c r="H176" s="44">
        <f t="shared" si="70"/>
        <v>8.4659057900888082E-2</v>
      </c>
      <c r="I176" s="43">
        <f>7990664.7*H176/100</f>
        <v>6764.8214550388257</v>
      </c>
      <c r="J176" s="43"/>
      <c r="K176" s="43"/>
      <c r="L176" s="43">
        <f t="shared" si="71"/>
        <v>6764.8214550388257</v>
      </c>
      <c r="M176" s="43">
        <v>6764.8</v>
      </c>
      <c r="N176" s="43">
        <f t="shared" si="72"/>
        <v>-2.1455038825479278E-2</v>
      </c>
      <c r="O176" s="43">
        <f t="shared" si="73"/>
        <v>99.999682843974995</v>
      </c>
      <c r="P176" s="43">
        <v>51072.600000000006</v>
      </c>
      <c r="Q176" s="44">
        <f t="shared" si="74"/>
        <v>0.20837768579787747</v>
      </c>
      <c r="R176" s="43">
        <f>6201897*Q176/100-4000</f>
        <v>8923.3694441679891</v>
      </c>
      <c r="S176" s="43">
        <v>15341.5</v>
      </c>
      <c r="T176" s="43"/>
      <c r="U176" s="43"/>
      <c r="V176" s="43"/>
      <c r="W176" s="43"/>
      <c r="X176" s="43">
        <f t="shared" si="76"/>
        <v>24264.869444167991</v>
      </c>
      <c r="Y176" s="43">
        <v>7440.5659999999998</v>
      </c>
      <c r="Z176" s="43">
        <f t="shared" si="77"/>
        <v>7440.5659999999998</v>
      </c>
      <c r="AA176" s="43"/>
      <c r="AB176" s="43"/>
      <c r="AC176" s="43">
        <v>11413.8</v>
      </c>
      <c r="AD176" s="43">
        <f t="shared" si="67"/>
        <v>18854.365999999998</v>
      </c>
      <c r="AE176" s="43">
        <v>8421.4</v>
      </c>
      <c r="AF176" s="43">
        <v>3020</v>
      </c>
      <c r="AG176" s="43"/>
      <c r="AH176" s="42">
        <f t="shared" si="53"/>
        <v>11441.4</v>
      </c>
      <c r="AI176" s="41">
        <v>11971.7</v>
      </c>
      <c r="AJ176" s="40">
        <v>12464.6</v>
      </c>
      <c r="AK176" s="49">
        <f>12279.2-5000</f>
        <v>7279.2000000000007</v>
      </c>
      <c r="AL176" s="39">
        <f t="shared" si="54"/>
        <v>7279.2000000000007</v>
      </c>
      <c r="AM176" s="49"/>
      <c r="AN176" s="49">
        <f t="shared" si="55"/>
        <v>7279.2000000000007</v>
      </c>
    </row>
    <row r="177" spans="1:40" s="18" customFormat="1" ht="20.399999999999999" x14ac:dyDescent="0.25">
      <c r="A177" s="46">
        <v>41210</v>
      </c>
      <c r="B177" s="45" t="s">
        <v>128</v>
      </c>
      <c r="C177" s="43">
        <v>14833.3</v>
      </c>
      <c r="D177" s="43">
        <f t="shared" si="68"/>
        <v>1236.1083333333333</v>
      </c>
      <c r="E177" s="43">
        <v>1040.5</v>
      </c>
      <c r="F177" s="43">
        <v>1196.8</v>
      </c>
      <c r="G177" s="43">
        <f t="shared" si="69"/>
        <v>3456.1589000000004</v>
      </c>
      <c r="H177" s="44">
        <f t="shared" si="70"/>
        <v>1.2329224425819817E-2</v>
      </c>
      <c r="I177" s="43">
        <v>1155.9000000000001</v>
      </c>
      <c r="J177" s="43"/>
      <c r="K177" s="43"/>
      <c r="L177" s="43">
        <f t="shared" si="71"/>
        <v>1155.9000000000001</v>
      </c>
      <c r="M177" s="43">
        <v>1155.9000000000001</v>
      </c>
      <c r="N177" s="43">
        <f t="shared" si="72"/>
        <v>0</v>
      </c>
      <c r="O177" s="43">
        <f t="shared" si="73"/>
        <v>100</v>
      </c>
      <c r="P177" s="43">
        <v>3890.6000000000004</v>
      </c>
      <c r="Q177" s="44">
        <f t="shared" si="74"/>
        <v>1.5873760575440099E-2</v>
      </c>
      <c r="R177" s="43">
        <f>6201897*Q177/100</f>
        <v>984.47428091540223</v>
      </c>
      <c r="S177" s="43"/>
      <c r="T177" s="43"/>
      <c r="U177" s="43"/>
      <c r="V177" s="43"/>
      <c r="W177" s="43"/>
      <c r="X177" s="43">
        <f t="shared" si="76"/>
        <v>984.47428091540223</v>
      </c>
      <c r="Y177" s="43">
        <v>1073.067</v>
      </c>
      <c r="Z177" s="43">
        <f t="shared" si="77"/>
        <v>1073.067</v>
      </c>
      <c r="AA177" s="43"/>
      <c r="AB177" s="43"/>
      <c r="AC177" s="43"/>
      <c r="AD177" s="43">
        <f t="shared" si="67"/>
        <v>1073.067</v>
      </c>
      <c r="AE177" s="43">
        <f>1777.3-500</f>
        <v>1277.3</v>
      </c>
      <c r="AF177" s="43"/>
      <c r="AG177" s="43"/>
      <c r="AH177" s="42">
        <f t="shared" si="53"/>
        <v>1277.3</v>
      </c>
      <c r="AI177" s="41">
        <v>1243.5999999999999</v>
      </c>
      <c r="AJ177" s="40">
        <v>1480</v>
      </c>
      <c r="AK177" s="49">
        <f>1786.7-500</f>
        <v>1286.7</v>
      </c>
      <c r="AL177" s="39">
        <f t="shared" si="54"/>
        <v>1286.7</v>
      </c>
      <c r="AM177" s="49"/>
      <c r="AN177" s="49">
        <f t="shared" si="55"/>
        <v>1286.7</v>
      </c>
    </row>
    <row r="178" spans="1:40" s="18" customFormat="1" ht="20.399999999999999" x14ac:dyDescent="0.25">
      <c r="A178" s="46">
        <v>41221</v>
      </c>
      <c r="B178" s="45" t="s">
        <v>127</v>
      </c>
      <c r="C178" s="43">
        <v>1143774.8</v>
      </c>
      <c r="D178" s="43">
        <f t="shared" si="68"/>
        <v>95314.566666666666</v>
      </c>
      <c r="E178" s="43">
        <v>68711.600000000006</v>
      </c>
      <c r="F178" s="43">
        <v>126225.3</v>
      </c>
      <c r="G178" s="43">
        <f t="shared" si="69"/>
        <v>266499.52840000001</v>
      </c>
      <c r="H178" s="44">
        <f t="shared" si="70"/>
        <v>1.0742505649548988</v>
      </c>
      <c r="I178" s="43">
        <v>144154.9</v>
      </c>
      <c r="J178" s="43"/>
      <c r="K178" s="43"/>
      <c r="L178" s="43">
        <f t="shared" si="71"/>
        <v>144154.9</v>
      </c>
      <c r="M178" s="43">
        <v>110700.6</v>
      </c>
      <c r="N178" s="43">
        <f t="shared" si="72"/>
        <v>-33454.299999999988</v>
      </c>
      <c r="O178" s="43">
        <f t="shared" si="73"/>
        <v>76.792811066429252</v>
      </c>
      <c r="P178" s="43">
        <v>286086.59999999998</v>
      </c>
      <c r="Q178" s="44">
        <f t="shared" si="74"/>
        <v>1.1672416059840902</v>
      </c>
      <c r="R178" s="43">
        <f>6201897*Q178/100</f>
        <v>72391.122144279114</v>
      </c>
      <c r="S178" s="43">
        <v>20000</v>
      </c>
      <c r="T178" s="43"/>
      <c r="U178" s="43"/>
      <c r="V178" s="43"/>
      <c r="W178" s="43"/>
      <c r="X178" s="43">
        <f t="shared" si="76"/>
        <v>92391.122144279114</v>
      </c>
      <c r="Y178" s="43">
        <v>74919.366999999998</v>
      </c>
      <c r="Z178" s="43">
        <f t="shared" si="77"/>
        <v>74919.366999999998</v>
      </c>
      <c r="AA178" s="43"/>
      <c r="AB178" s="43">
        <v>20000</v>
      </c>
      <c r="AC178" s="43"/>
      <c r="AD178" s="43">
        <f t="shared" si="67"/>
        <v>94919.366999999998</v>
      </c>
      <c r="AE178" s="43">
        <f>108774.3-20000</f>
        <v>88774.3</v>
      </c>
      <c r="AF178" s="43"/>
      <c r="AG178" s="43"/>
      <c r="AH178" s="42">
        <f t="shared" si="53"/>
        <v>88774.3</v>
      </c>
      <c r="AI178" s="41">
        <v>88774.3</v>
      </c>
      <c r="AJ178" s="49">
        <v>136272.5</v>
      </c>
      <c r="AK178" s="49">
        <f>108499.416666667-15000</f>
        <v>93499.416666667006</v>
      </c>
      <c r="AL178" s="39">
        <f t="shared" si="54"/>
        <v>93499.416666667006</v>
      </c>
      <c r="AM178" s="49"/>
      <c r="AN178" s="49">
        <f t="shared" si="55"/>
        <v>93499.416666667006</v>
      </c>
    </row>
    <row r="179" spans="1:40" s="18" customFormat="1" ht="20.399999999999999" x14ac:dyDescent="0.25">
      <c r="A179" s="46">
        <v>41321</v>
      </c>
      <c r="B179" s="45" t="s">
        <v>126</v>
      </c>
      <c r="C179" s="43">
        <v>51646.1</v>
      </c>
      <c r="D179" s="43">
        <f t="shared" si="68"/>
        <v>4303.8416666666662</v>
      </c>
      <c r="E179" s="43">
        <v>3927.5</v>
      </c>
      <c r="F179" s="43">
        <v>4288.2</v>
      </c>
      <c r="G179" s="43">
        <f t="shared" si="69"/>
        <v>12033.541299999999</v>
      </c>
      <c r="H179" s="44">
        <f t="shared" si="70"/>
        <v>4.5274754889915461E-2</v>
      </c>
      <c r="I179" s="43">
        <f>7990664.7*H179/100+500</f>
        <v>4117.7538569999988</v>
      </c>
      <c r="J179" s="43"/>
      <c r="K179" s="43"/>
      <c r="L179" s="43">
        <f t="shared" si="71"/>
        <v>4117.7538569999988</v>
      </c>
      <c r="M179" s="43">
        <v>3695.1</v>
      </c>
      <c r="N179" s="43">
        <f t="shared" si="72"/>
        <v>-422.65385699999888</v>
      </c>
      <c r="O179" s="43">
        <f t="shared" si="73"/>
        <v>89.73581540621943</v>
      </c>
      <c r="P179" s="43">
        <v>13564.7</v>
      </c>
      <c r="Q179" s="44">
        <f t="shared" si="74"/>
        <v>5.5344368497833842E-2</v>
      </c>
      <c r="R179" s="43">
        <f>6201897*Q179/100+300</f>
        <v>3732.4007295361021</v>
      </c>
      <c r="S179" s="43">
        <v>1109.5999999999999</v>
      </c>
      <c r="T179" s="43"/>
      <c r="U179" s="43"/>
      <c r="V179" s="43"/>
      <c r="W179" s="43"/>
      <c r="X179" s="43">
        <f t="shared" si="76"/>
        <v>4842.000729536102</v>
      </c>
      <c r="Y179" s="43">
        <v>4014.9990000000003</v>
      </c>
      <c r="Z179" s="43">
        <f t="shared" si="77"/>
        <v>4014.9990000000003</v>
      </c>
      <c r="AA179" s="43"/>
      <c r="AB179" s="43"/>
      <c r="AC179" s="43">
        <v>306</v>
      </c>
      <c r="AD179" s="43">
        <f t="shared" si="67"/>
        <v>4320.9989999999998</v>
      </c>
      <c r="AE179" s="43">
        <v>4089.2</v>
      </c>
      <c r="AF179" s="43">
        <v>200</v>
      </c>
      <c r="AG179" s="43"/>
      <c r="AH179" s="42">
        <f t="shared" si="53"/>
        <v>4289.2</v>
      </c>
      <c r="AI179" s="41">
        <f>3916.5+572.5</f>
        <v>4489</v>
      </c>
      <c r="AJ179" s="40">
        <v>4717</v>
      </c>
      <c r="AK179" s="49">
        <f>4735.4-400</f>
        <v>4335.3999999999996</v>
      </c>
      <c r="AL179" s="39">
        <f t="shared" si="54"/>
        <v>4335.3999999999996</v>
      </c>
      <c r="AM179" s="49"/>
      <c r="AN179" s="49">
        <f t="shared" si="55"/>
        <v>4335.3999999999996</v>
      </c>
    </row>
    <row r="180" spans="1:40" s="18" customFormat="1" ht="20.399999999999999" x14ac:dyDescent="0.25">
      <c r="A180" s="46">
        <v>41420</v>
      </c>
      <c r="B180" s="45" t="s">
        <v>125</v>
      </c>
      <c r="C180" s="43">
        <v>40045.9</v>
      </c>
      <c r="D180" s="43">
        <f t="shared" si="68"/>
        <v>3337.1583333333333</v>
      </c>
      <c r="E180" s="43">
        <v>2677.1</v>
      </c>
      <c r="F180" s="43">
        <v>2284.6</v>
      </c>
      <c r="G180" s="43">
        <f t="shared" si="69"/>
        <v>9330.6947</v>
      </c>
      <c r="H180" s="44">
        <f t="shared" si="70"/>
        <v>2.734274028230017E-2</v>
      </c>
      <c r="I180" s="43">
        <f>7990664.7*H180/100+300</f>
        <v>2484.8666957504402</v>
      </c>
      <c r="J180" s="43"/>
      <c r="K180" s="43"/>
      <c r="L180" s="43">
        <f t="shared" si="71"/>
        <v>2484.8666957504402</v>
      </c>
      <c r="M180" s="43">
        <v>2484.9</v>
      </c>
      <c r="N180" s="43">
        <f t="shared" si="72"/>
        <v>3.3304249559932941E-2</v>
      </c>
      <c r="O180" s="43">
        <f t="shared" si="73"/>
        <v>100.00134028314747</v>
      </c>
      <c r="P180" s="43">
        <v>10764.5</v>
      </c>
      <c r="Q180" s="44">
        <f t="shared" si="74"/>
        <v>4.391947147337813E-2</v>
      </c>
      <c r="R180" s="43">
        <f>6201897*Q180/100</f>
        <v>2723.8403837232936</v>
      </c>
      <c r="S180" s="43"/>
      <c r="T180" s="43">
        <v>5992.9</v>
      </c>
      <c r="U180" s="43"/>
      <c r="V180" s="43"/>
      <c r="W180" s="43"/>
      <c r="X180" s="43">
        <f t="shared" si="76"/>
        <v>8716.7403837232923</v>
      </c>
      <c r="Y180" s="43">
        <v>4523.3680000000004</v>
      </c>
      <c r="Z180" s="43">
        <f t="shared" si="77"/>
        <v>4523.3680000000004</v>
      </c>
      <c r="AA180" s="43"/>
      <c r="AB180" s="43"/>
      <c r="AC180" s="43"/>
      <c r="AD180" s="43">
        <f t="shared" si="67"/>
        <v>4523.3680000000004</v>
      </c>
      <c r="AE180" s="43">
        <v>5055.2</v>
      </c>
      <c r="AF180" s="43">
        <v>1500</v>
      </c>
      <c r="AG180" s="43"/>
      <c r="AH180" s="42">
        <f t="shared" si="53"/>
        <v>6555.2</v>
      </c>
      <c r="AI180" s="41">
        <f>4523.4+3478.2</f>
        <v>8001.5999999999995</v>
      </c>
      <c r="AJ180" s="40">
        <v>10383.299999999999</v>
      </c>
      <c r="AK180" s="49">
        <v>2835.2</v>
      </c>
      <c r="AL180" s="39">
        <f t="shared" si="54"/>
        <v>2835.2</v>
      </c>
      <c r="AM180" s="49"/>
      <c r="AN180" s="49">
        <f t="shared" si="55"/>
        <v>2835.2</v>
      </c>
    </row>
    <row r="181" spans="1:40" s="18" customFormat="1" ht="20.399999999999999" x14ac:dyDescent="0.25">
      <c r="A181" s="48">
        <v>41911</v>
      </c>
      <c r="B181" s="45" t="s">
        <v>124</v>
      </c>
      <c r="C181" s="43">
        <v>19945.8</v>
      </c>
      <c r="D181" s="43">
        <f t="shared" si="68"/>
        <v>1662.1499999999999</v>
      </c>
      <c r="E181" s="43"/>
      <c r="F181" s="43"/>
      <c r="G181" s="43">
        <f t="shared" si="69"/>
        <v>4647.3714</v>
      </c>
      <c r="H181" s="44">
        <f t="shared" si="70"/>
        <v>0</v>
      </c>
      <c r="I181" s="43">
        <f>2000+1500</f>
        <v>3500</v>
      </c>
      <c r="J181" s="43"/>
      <c r="K181" s="43"/>
      <c r="L181" s="43">
        <f t="shared" si="71"/>
        <v>3500</v>
      </c>
      <c r="M181" s="43">
        <v>3500</v>
      </c>
      <c r="N181" s="43">
        <f t="shared" si="72"/>
        <v>0</v>
      </c>
      <c r="O181" s="43">
        <f t="shared" si="73"/>
        <v>100</v>
      </c>
      <c r="P181" s="43">
        <v>6000</v>
      </c>
      <c r="Q181" s="44">
        <f t="shared" si="74"/>
        <v>2.4480173611432836E-2</v>
      </c>
      <c r="R181" s="43">
        <f>6201897*Q181/100-1518.2</f>
        <v>3.5152802244738268E-2</v>
      </c>
      <c r="S181" s="43"/>
      <c r="T181" s="43"/>
      <c r="U181" s="43"/>
      <c r="V181" s="43"/>
      <c r="W181" s="43"/>
      <c r="X181" s="43">
        <f t="shared" si="76"/>
        <v>3.5152802244738268E-2</v>
      </c>
      <c r="Y181" s="43"/>
      <c r="Z181" s="43">
        <f t="shared" si="77"/>
        <v>0</v>
      </c>
      <c r="AA181" s="43"/>
      <c r="AB181" s="43"/>
      <c r="AC181" s="43">
        <v>500</v>
      </c>
      <c r="AD181" s="43">
        <f t="shared" si="67"/>
        <v>500</v>
      </c>
      <c r="AE181" s="43"/>
      <c r="AF181" s="43"/>
      <c r="AG181" s="43"/>
      <c r="AH181" s="42">
        <f t="shared" si="53"/>
        <v>0</v>
      </c>
      <c r="AI181" s="41">
        <f>1500</f>
        <v>1500</v>
      </c>
      <c r="AJ181" s="40">
        <v>0</v>
      </c>
      <c r="AK181" s="49">
        <f>10500-1500</f>
        <v>9000</v>
      </c>
      <c r="AL181" s="39">
        <f t="shared" si="54"/>
        <v>9000</v>
      </c>
      <c r="AM181" s="49"/>
      <c r="AN181" s="49">
        <f t="shared" si="55"/>
        <v>9000</v>
      </c>
    </row>
    <row r="182" spans="1:40" s="18" customFormat="1" ht="20.399999999999999" x14ac:dyDescent="0.25">
      <c r="A182" s="46">
        <v>43420</v>
      </c>
      <c r="B182" s="45" t="s">
        <v>123</v>
      </c>
      <c r="C182" s="43">
        <v>106223.4</v>
      </c>
      <c r="D182" s="43">
        <f t="shared" si="68"/>
        <v>8851.9499999999989</v>
      </c>
      <c r="E182" s="43">
        <v>5074.7</v>
      </c>
      <c r="F182" s="43">
        <v>5105.2</v>
      </c>
      <c r="G182" s="43">
        <f t="shared" si="69"/>
        <v>24750.052199999998</v>
      </c>
      <c r="H182" s="44">
        <f t="shared" si="70"/>
        <v>5.6098990628169282E-2</v>
      </c>
      <c r="I182" s="43">
        <v>10323.299999999999</v>
      </c>
      <c r="J182" s="43"/>
      <c r="K182" s="43"/>
      <c r="L182" s="43">
        <f t="shared" si="71"/>
        <v>10323.299999999999</v>
      </c>
      <c r="M182" s="43">
        <v>10056.700000000001</v>
      </c>
      <c r="N182" s="43">
        <f t="shared" si="72"/>
        <v>-266.59999999999854</v>
      </c>
      <c r="O182" s="43">
        <f t="shared" si="73"/>
        <v>97.41749246849362</v>
      </c>
      <c r="P182" s="43">
        <v>27177.7</v>
      </c>
      <c r="Q182" s="44">
        <f t="shared" si="74"/>
        <v>0.1108858023932397</v>
      </c>
      <c r="R182" s="43">
        <f>6201897*Q182/100</f>
        <v>6877.0232520522604</v>
      </c>
      <c r="S182" s="43"/>
      <c r="T182" s="43"/>
      <c r="U182" s="43"/>
      <c r="V182" s="43"/>
      <c r="W182" s="43"/>
      <c r="X182" s="43">
        <f t="shared" si="76"/>
        <v>6877.0232520522604</v>
      </c>
      <c r="Y182" s="43">
        <v>5155.8980000000001</v>
      </c>
      <c r="Z182" s="43">
        <f t="shared" si="77"/>
        <v>5155.8980000000001</v>
      </c>
      <c r="AA182" s="43"/>
      <c r="AB182" s="43"/>
      <c r="AC182" s="43"/>
      <c r="AD182" s="43">
        <f t="shared" si="67"/>
        <v>5155.8980000000001</v>
      </c>
      <c r="AE182" s="43">
        <v>7078.4</v>
      </c>
      <c r="AF182" s="43"/>
      <c r="AG182" s="43"/>
      <c r="AH182" s="42">
        <f t="shared" si="53"/>
        <v>7078.4</v>
      </c>
      <c r="AI182" s="41">
        <v>7078.4</v>
      </c>
      <c r="AJ182" s="40">
        <v>10539.8</v>
      </c>
      <c r="AK182" s="49">
        <f>18787.4-8000-3000</f>
        <v>7787.4000000000015</v>
      </c>
      <c r="AL182" s="39">
        <f t="shared" si="54"/>
        <v>7787.4000000000015</v>
      </c>
      <c r="AM182" s="49"/>
      <c r="AN182" s="49">
        <f t="shared" si="55"/>
        <v>7787.4000000000015</v>
      </c>
    </row>
    <row r="183" spans="1:40" s="18" customFormat="1" ht="20.399999999999999" x14ac:dyDescent="0.25">
      <c r="A183" s="46">
        <v>43110</v>
      </c>
      <c r="B183" s="45" t="s">
        <v>122</v>
      </c>
      <c r="C183" s="43">
        <v>120567.8</v>
      </c>
      <c r="D183" s="43">
        <f t="shared" si="68"/>
        <v>10047.316666666668</v>
      </c>
      <c r="E183" s="43">
        <v>9707.9</v>
      </c>
      <c r="F183" s="43">
        <v>9406.1</v>
      </c>
      <c r="G183" s="43">
        <f t="shared" si="69"/>
        <v>28092.297400000003</v>
      </c>
      <c r="H183" s="44">
        <f t="shared" si="70"/>
        <v>0.10533267584817413</v>
      </c>
      <c r="I183" s="43">
        <v>10299.1</v>
      </c>
      <c r="J183" s="43"/>
      <c r="K183" s="43"/>
      <c r="L183" s="43">
        <f t="shared" si="71"/>
        <v>10299.1</v>
      </c>
      <c r="M183" s="43">
        <v>10299.1</v>
      </c>
      <c r="N183" s="43">
        <f t="shared" si="72"/>
        <v>0</v>
      </c>
      <c r="O183" s="43">
        <f t="shared" si="73"/>
        <v>100</v>
      </c>
      <c r="P183" s="43">
        <v>30249.5</v>
      </c>
      <c r="Q183" s="44">
        <f t="shared" si="74"/>
        <v>0.12341883527650627</v>
      </c>
      <c r="R183" s="43">
        <f>6201897*Q183/100+2300</f>
        <v>9954.3090424485854</v>
      </c>
      <c r="S183" s="43"/>
      <c r="T183" s="43"/>
      <c r="U183" s="43"/>
      <c r="V183" s="43"/>
      <c r="W183" s="43"/>
      <c r="X183" s="43">
        <f t="shared" si="76"/>
        <v>9954.3090424485854</v>
      </c>
      <c r="Y183" s="43">
        <v>2393.931</v>
      </c>
      <c r="Z183" s="43">
        <f t="shared" si="77"/>
        <v>2393.931</v>
      </c>
      <c r="AA183" s="43"/>
      <c r="AB183" s="43"/>
      <c r="AC183" s="43"/>
      <c r="AD183" s="43">
        <f t="shared" si="67"/>
        <v>2393.931</v>
      </c>
      <c r="AE183" s="43">
        <f>17864.4-7000</f>
        <v>10864.400000000001</v>
      </c>
      <c r="AF183" s="43">
        <f>AD183+16866.9-AE183</f>
        <v>8396.4310000000005</v>
      </c>
      <c r="AG183" s="43"/>
      <c r="AH183" s="42">
        <f t="shared" si="53"/>
        <v>19260.831000000002</v>
      </c>
      <c r="AI183" s="41">
        <f>10047.3+70000</f>
        <v>80047.3</v>
      </c>
      <c r="AJ183" s="40">
        <v>13528.8</v>
      </c>
      <c r="AK183" s="49">
        <v>8900</v>
      </c>
      <c r="AL183" s="39">
        <f t="shared" si="54"/>
        <v>8900</v>
      </c>
      <c r="AM183" s="49"/>
      <c r="AN183" s="49">
        <f t="shared" si="55"/>
        <v>8900</v>
      </c>
    </row>
    <row r="184" spans="1:40" s="18" customFormat="1" ht="20.399999999999999" x14ac:dyDescent="0.25">
      <c r="A184" s="46">
        <v>43120</v>
      </c>
      <c r="B184" s="45" t="s">
        <v>121</v>
      </c>
      <c r="C184" s="43">
        <v>10750</v>
      </c>
      <c r="D184" s="43">
        <f t="shared" si="68"/>
        <v>895.83333333333337</v>
      </c>
      <c r="E184" s="43"/>
      <c r="F184" s="43"/>
      <c r="G184" s="43">
        <f t="shared" si="69"/>
        <v>2504.75</v>
      </c>
      <c r="H184" s="44">
        <f t="shared" si="70"/>
        <v>0</v>
      </c>
      <c r="I184" s="43">
        <f>7990664.7*H184/100+895.8</f>
        <v>895.8</v>
      </c>
      <c r="J184" s="43"/>
      <c r="K184" s="43"/>
      <c r="L184" s="43">
        <f t="shared" si="71"/>
        <v>895.8</v>
      </c>
      <c r="M184" s="47"/>
      <c r="N184" s="43">
        <f t="shared" si="72"/>
        <v>-895.8</v>
      </c>
      <c r="O184" s="43">
        <f t="shared" si="73"/>
        <v>0</v>
      </c>
      <c r="P184" s="43">
        <v>3235.8</v>
      </c>
      <c r="Q184" s="44">
        <f t="shared" si="74"/>
        <v>1.3202157628645728E-2</v>
      </c>
      <c r="R184" s="43">
        <f>6201897*Q184/100</f>
        <v>818.78421790625055</v>
      </c>
      <c r="S184" s="43"/>
      <c r="T184" s="43"/>
      <c r="U184" s="43"/>
      <c r="V184" s="43"/>
      <c r="W184" s="43"/>
      <c r="X184" s="43">
        <f t="shared" si="76"/>
        <v>818.78421790625055</v>
      </c>
      <c r="Y184" s="43">
        <v>0</v>
      </c>
      <c r="Z184" s="43">
        <f t="shared" si="77"/>
        <v>0</v>
      </c>
      <c r="AA184" s="43"/>
      <c r="AB184" s="43"/>
      <c r="AC184" s="43"/>
      <c r="AD184" s="43">
        <f t="shared" si="67"/>
        <v>0</v>
      </c>
      <c r="AE184" s="43"/>
      <c r="AF184" s="43"/>
      <c r="AG184" s="43"/>
      <c r="AH184" s="42">
        <f t="shared" si="53"/>
        <v>0</v>
      </c>
      <c r="AI184" s="41"/>
      <c r="AJ184" s="40">
        <v>0</v>
      </c>
      <c r="AK184" s="49"/>
      <c r="AL184" s="39">
        <f t="shared" si="54"/>
        <v>0</v>
      </c>
      <c r="AM184" s="49"/>
      <c r="AN184" s="49">
        <f t="shared" si="55"/>
        <v>0</v>
      </c>
    </row>
    <row r="185" spans="1:40" s="18" customFormat="1" ht="20.399999999999999" x14ac:dyDescent="0.25">
      <c r="A185" s="46">
        <v>43210</v>
      </c>
      <c r="B185" s="45" t="s">
        <v>120</v>
      </c>
      <c r="C185" s="43">
        <v>9907.7999999999993</v>
      </c>
      <c r="D185" s="43">
        <f t="shared" si="68"/>
        <v>825.65</v>
      </c>
      <c r="E185" s="43">
        <v>786.8</v>
      </c>
      <c r="F185" s="43">
        <v>960.3</v>
      </c>
      <c r="G185" s="43">
        <f t="shared" si="69"/>
        <v>2308.5173999999997</v>
      </c>
      <c r="H185" s="44">
        <f t="shared" si="70"/>
        <v>9.6278496376658463E-3</v>
      </c>
      <c r="I185" s="43">
        <v>448</v>
      </c>
      <c r="J185" s="43"/>
      <c r="K185" s="43"/>
      <c r="L185" s="43">
        <f t="shared" si="71"/>
        <v>448</v>
      </c>
      <c r="M185" s="43">
        <v>448</v>
      </c>
      <c r="N185" s="43">
        <f t="shared" si="72"/>
        <v>0</v>
      </c>
      <c r="O185" s="43">
        <f t="shared" si="73"/>
        <v>100</v>
      </c>
      <c r="P185" s="43">
        <v>2578.7999999999997</v>
      </c>
      <c r="Q185" s="44">
        <f t="shared" si="74"/>
        <v>1.0521578618193831E-2</v>
      </c>
      <c r="R185" s="43">
        <f>6201897*Q185/100</f>
        <v>652.53746867440464</v>
      </c>
      <c r="S185" s="43"/>
      <c r="T185" s="43">
        <v>334.1</v>
      </c>
      <c r="U185" s="43"/>
      <c r="V185" s="43"/>
      <c r="W185" s="43"/>
      <c r="X185" s="43">
        <f t="shared" si="76"/>
        <v>986.63746867440466</v>
      </c>
      <c r="Y185" s="43">
        <v>795.29900000000009</v>
      </c>
      <c r="Z185" s="43">
        <f t="shared" si="77"/>
        <v>795.29900000000009</v>
      </c>
      <c r="AA185" s="43"/>
      <c r="AB185" s="43"/>
      <c r="AC185" s="43"/>
      <c r="AD185" s="43">
        <f t="shared" si="67"/>
        <v>795.29900000000009</v>
      </c>
      <c r="AE185" s="43">
        <v>955</v>
      </c>
      <c r="AF185" s="43"/>
      <c r="AG185" s="43"/>
      <c r="AH185" s="42">
        <f t="shared" si="53"/>
        <v>955</v>
      </c>
      <c r="AI185" s="41">
        <v>858.4</v>
      </c>
      <c r="AJ185" s="40">
        <v>912.7</v>
      </c>
      <c r="AK185" s="49">
        <f>1133.5-300</f>
        <v>833.5</v>
      </c>
      <c r="AL185" s="39">
        <f t="shared" si="54"/>
        <v>833.5</v>
      </c>
      <c r="AM185" s="49"/>
      <c r="AN185" s="49">
        <f t="shared" si="55"/>
        <v>833.5</v>
      </c>
    </row>
    <row r="186" spans="1:40" s="18" customFormat="1" ht="20.399999999999999" x14ac:dyDescent="0.25">
      <c r="A186" s="46">
        <v>43220</v>
      </c>
      <c r="B186" s="45" t="s">
        <v>119</v>
      </c>
      <c r="C186" s="43">
        <v>1856419.8</v>
      </c>
      <c r="D186" s="43">
        <f t="shared" si="68"/>
        <v>154701.65</v>
      </c>
      <c r="E186" s="43">
        <v>107464.9</v>
      </c>
      <c r="F186" s="43">
        <v>107391.6</v>
      </c>
      <c r="G186" s="43">
        <f t="shared" si="69"/>
        <v>432545.81340000004</v>
      </c>
      <c r="H186" s="44">
        <f t="shared" si="70"/>
        <v>1.1840227094471707</v>
      </c>
      <c r="I186" s="43">
        <v>49178</v>
      </c>
      <c r="J186" s="43"/>
      <c r="K186" s="43"/>
      <c r="L186" s="43">
        <f t="shared" si="71"/>
        <v>49178</v>
      </c>
      <c r="M186" s="43">
        <v>46286.2</v>
      </c>
      <c r="N186" s="43">
        <f t="shared" si="72"/>
        <v>-2891.8000000000029</v>
      </c>
      <c r="O186" s="43">
        <f t="shared" si="73"/>
        <v>94.119728333807799</v>
      </c>
      <c r="P186" s="43">
        <v>747211</v>
      </c>
      <c r="Q186" s="44">
        <f t="shared" si="74"/>
        <v>3.0486425007287234</v>
      </c>
      <c r="R186" s="43">
        <f>6201897*Q186/100-39000</f>
        <v>150073.66779341965</v>
      </c>
      <c r="S186" s="43"/>
      <c r="T186" s="43">
        <v>100000</v>
      </c>
      <c r="U186" s="43"/>
      <c r="V186" s="43"/>
      <c r="W186" s="43"/>
      <c r="X186" s="43">
        <f t="shared" si="76"/>
        <v>250073.66779341965</v>
      </c>
      <c r="Y186" s="43">
        <v>10661.966</v>
      </c>
      <c r="Z186" s="43">
        <f t="shared" si="77"/>
        <v>10661.966</v>
      </c>
      <c r="AA186" s="43"/>
      <c r="AB186" s="43"/>
      <c r="AC186" s="43">
        <v>200000</v>
      </c>
      <c r="AD186" s="43">
        <f t="shared" si="67"/>
        <v>210661.96600000001</v>
      </c>
      <c r="AE186" s="43">
        <v>14793.9</v>
      </c>
      <c r="AF186" s="43">
        <f>100000+100000</f>
        <v>200000</v>
      </c>
      <c r="AG186" s="43"/>
      <c r="AH186" s="42">
        <f t="shared" si="53"/>
        <v>214793.9</v>
      </c>
      <c r="AI186" s="41">
        <f>120617+100000</f>
        <v>220617</v>
      </c>
      <c r="AJ186" s="40">
        <v>173560</v>
      </c>
      <c r="AK186" s="49">
        <f>110000-94000</f>
        <v>16000</v>
      </c>
      <c r="AL186" s="39">
        <f t="shared" si="54"/>
        <v>16000</v>
      </c>
      <c r="AM186" s="49"/>
      <c r="AN186" s="49">
        <f t="shared" si="55"/>
        <v>16000</v>
      </c>
    </row>
    <row r="187" spans="1:40" s="18" customFormat="1" ht="12.75" customHeight="1" x14ac:dyDescent="0.25">
      <c r="A187" s="46">
        <v>43320</v>
      </c>
      <c r="B187" s="45" t="s">
        <v>118</v>
      </c>
      <c r="C187" s="43">
        <v>95444.1</v>
      </c>
      <c r="D187" s="43">
        <f t="shared" si="68"/>
        <v>7953.6750000000002</v>
      </c>
      <c r="E187" s="43">
        <v>2075.6999999999998</v>
      </c>
      <c r="F187" s="43">
        <v>2297.1999999999998</v>
      </c>
      <c r="G187" s="43">
        <f t="shared" si="69"/>
        <v>22238.475300000002</v>
      </c>
      <c r="H187" s="44">
        <f t="shared" si="70"/>
        <v>2.4098004510645629E-2</v>
      </c>
      <c r="I187" s="43">
        <v>12816.6</v>
      </c>
      <c r="J187" s="43"/>
      <c r="K187" s="43"/>
      <c r="L187" s="43">
        <f t="shared" si="71"/>
        <v>12816.6</v>
      </c>
      <c r="M187" s="43">
        <v>11531.9</v>
      </c>
      <c r="N187" s="43">
        <f t="shared" si="72"/>
        <v>-1284.7000000000007</v>
      </c>
      <c r="O187" s="43">
        <f t="shared" si="73"/>
        <v>89.976280760888216</v>
      </c>
      <c r="P187" s="43">
        <v>25303.5</v>
      </c>
      <c r="Q187" s="44">
        <f t="shared" si="74"/>
        <v>0.10323901216281514</v>
      </c>
      <c r="R187" s="43">
        <f>6201897*Q187/100</f>
        <v>6402.7771981552678</v>
      </c>
      <c r="S187" s="43"/>
      <c r="T187" s="43"/>
      <c r="U187" s="43"/>
      <c r="V187" s="43"/>
      <c r="W187" s="43"/>
      <c r="X187" s="43">
        <f t="shared" si="76"/>
        <v>6402.7771981552678</v>
      </c>
      <c r="Y187" s="43">
        <v>2241.6659999999997</v>
      </c>
      <c r="Z187" s="43">
        <f t="shared" si="77"/>
        <v>2241.6659999999997</v>
      </c>
      <c r="AA187" s="43"/>
      <c r="AB187" s="43"/>
      <c r="AC187" s="43">
        <v>9000</v>
      </c>
      <c r="AD187" s="43">
        <f t="shared" si="67"/>
        <v>11241.665999999999</v>
      </c>
      <c r="AE187" s="43">
        <f>3924.5-1000</f>
        <v>2924.5</v>
      </c>
      <c r="AF187" s="43">
        <v>1111.7</v>
      </c>
      <c r="AG187" s="42">
        <v>13000</v>
      </c>
      <c r="AH187" s="42">
        <f t="shared" si="53"/>
        <v>17036.2</v>
      </c>
      <c r="AI187" s="41">
        <v>14859</v>
      </c>
      <c r="AJ187" s="40">
        <v>17734.8</v>
      </c>
      <c r="AK187" s="49">
        <v>10330.5</v>
      </c>
      <c r="AL187" s="39">
        <f t="shared" si="54"/>
        <v>10330.5</v>
      </c>
      <c r="AM187" s="49">
        <v>20000</v>
      </c>
      <c r="AN187" s="49">
        <f t="shared" si="55"/>
        <v>30330.5</v>
      </c>
    </row>
    <row r="188" spans="1:40" s="18" customFormat="1" ht="20.399999999999999" x14ac:dyDescent="0.25">
      <c r="A188" s="46">
        <v>43510</v>
      </c>
      <c r="B188" s="45" t="s">
        <v>117</v>
      </c>
      <c r="C188" s="43">
        <v>17037.8</v>
      </c>
      <c r="D188" s="43">
        <f t="shared" si="68"/>
        <v>1419.8166666666666</v>
      </c>
      <c r="E188" s="43">
        <v>861</v>
      </c>
      <c r="F188" s="43">
        <v>1254.5999999999999</v>
      </c>
      <c r="G188" s="43">
        <f t="shared" si="69"/>
        <v>3969.8073999999997</v>
      </c>
      <c r="H188" s="44">
        <f t="shared" si="70"/>
        <v>1.165856487519081E-2</v>
      </c>
      <c r="I188" s="43">
        <v>1429.4</v>
      </c>
      <c r="J188" s="43"/>
      <c r="K188" s="43"/>
      <c r="L188" s="43">
        <f t="shared" si="71"/>
        <v>1429.4</v>
      </c>
      <c r="M188" s="43">
        <v>1429.4</v>
      </c>
      <c r="N188" s="43">
        <f t="shared" si="72"/>
        <v>0</v>
      </c>
      <c r="O188" s="43">
        <f t="shared" si="73"/>
        <v>100</v>
      </c>
      <c r="P188" s="43">
        <v>4548.8</v>
      </c>
      <c r="Q188" s="44">
        <f t="shared" si="74"/>
        <v>1.8559235620614283E-2</v>
      </c>
      <c r="R188" s="43">
        <f>6201897*Q188/100+300</f>
        <v>1451.0246771778086</v>
      </c>
      <c r="S188" s="43"/>
      <c r="T188" s="43"/>
      <c r="U188" s="43"/>
      <c r="V188" s="43"/>
      <c r="W188" s="43"/>
      <c r="X188" s="43">
        <f t="shared" si="76"/>
        <v>1451.0246771778086</v>
      </c>
      <c r="Y188" s="43">
        <v>959.96600000000001</v>
      </c>
      <c r="Z188" s="43">
        <f t="shared" si="77"/>
        <v>959.96600000000001</v>
      </c>
      <c r="AA188" s="43"/>
      <c r="AB188" s="43"/>
      <c r="AC188" s="43"/>
      <c r="AD188" s="43">
        <f t="shared" si="67"/>
        <v>959.96600000000001</v>
      </c>
      <c r="AE188" s="43">
        <f>1833.8-300</f>
        <v>1533.8</v>
      </c>
      <c r="AF188" s="43"/>
      <c r="AG188" s="43"/>
      <c r="AH188" s="42">
        <f t="shared" si="53"/>
        <v>1533.8</v>
      </c>
      <c r="AI188" s="41">
        <v>979.8</v>
      </c>
      <c r="AJ188" s="40">
        <v>1210.7</v>
      </c>
      <c r="AK188" s="49">
        <v>491.5</v>
      </c>
      <c r="AL188" s="39">
        <f t="shared" si="54"/>
        <v>491.5</v>
      </c>
      <c r="AM188" s="49"/>
      <c r="AN188" s="49">
        <f t="shared" si="55"/>
        <v>491.5</v>
      </c>
    </row>
    <row r="189" spans="1:40" s="18" customFormat="1" ht="20.399999999999999" x14ac:dyDescent="0.25">
      <c r="A189" s="46">
        <v>43520</v>
      </c>
      <c r="B189" s="45" t="s">
        <v>116</v>
      </c>
      <c r="C189" s="43">
        <v>39322.199999999997</v>
      </c>
      <c r="D189" s="43">
        <f t="shared" si="68"/>
        <v>3276.85</v>
      </c>
      <c r="E189" s="43">
        <v>2505</v>
      </c>
      <c r="F189" s="43">
        <v>3380</v>
      </c>
      <c r="G189" s="43">
        <f t="shared" si="69"/>
        <v>9162.0725999999995</v>
      </c>
      <c r="H189" s="44">
        <f t="shared" si="70"/>
        <v>3.2430825435100175E-2</v>
      </c>
      <c r="I189" s="43">
        <v>2987.8</v>
      </c>
      <c r="J189" s="43"/>
      <c r="K189" s="43"/>
      <c r="L189" s="43">
        <f t="shared" si="71"/>
        <v>2987.8</v>
      </c>
      <c r="M189" s="43">
        <v>2987.8</v>
      </c>
      <c r="N189" s="43">
        <f t="shared" si="72"/>
        <v>0</v>
      </c>
      <c r="O189" s="43">
        <f t="shared" si="73"/>
        <v>100</v>
      </c>
      <c r="P189" s="43">
        <v>10353</v>
      </c>
      <c r="Q189" s="44">
        <f t="shared" si="74"/>
        <v>4.224053956652736E-2</v>
      </c>
      <c r="R189" s="43">
        <f>6201897*Q189/100+400</f>
        <v>3019.7147561602733</v>
      </c>
      <c r="S189" s="43"/>
      <c r="T189" s="43"/>
      <c r="U189" s="43"/>
      <c r="V189" s="43"/>
      <c r="W189" s="43"/>
      <c r="X189" s="43">
        <f t="shared" si="76"/>
        <v>3019.7147561602733</v>
      </c>
      <c r="Y189" s="43">
        <v>2823.9990000000003</v>
      </c>
      <c r="Z189" s="43">
        <f t="shared" si="77"/>
        <v>2823.9990000000003</v>
      </c>
      <c r="AA189" s="43"/>
      <c r="AB189" s="43"/>
      <c r="AC189" s="43"/>
      <c r="AD189" s="43">
        <f t="shared" si="67"/>
        <v>2823.9990000000003</v>
      </c>
      <c r="AE189" s="43">
        <f>4509.3-1000</f>
        <v>3509.3</v>
      </c>
      <c r="AF189" s="43">
        <v>550.4</v>
      </c>
      <c r="AG189" s="43"/>
      <c r="AH189" s="42">
        <f t="shared" si="53"/>
        <v>4059.7000000000003</v>
      </c>
      <c r="AI189" s="41">
        <v>3047</v>
      </c>
      <c r="AJ189" s="40">
        <v>3214.1</v>
      </c>
      <c r="AK189" s="49">
        <f>4529.2-1500</f>
        <v>3029.2</v>
      </c>
      <c r="AL189" s="39">
        <f t="shared" si="54"/>
        <v>3029.2</v>
      </c>
      <c r="AM189" s="49"/>
      <c r="AN189" s="49">
        <f t="shared" si="55"/>
        <v>3029.2</v>
      </c>
    </row>
    <row r="190" spans="1:40" s="18" customFormat="1" ht="20.399999999999999" x14ac:dyDescent="0.25">
      <c r="A190" s="46">
        <v>43620</v>
      </c>
      <c r="B190" s="45" t="s">
        <v>115</v>
      </c>
      <c r="C190" s="43">
        <v>29369.9</v>
      </c>
      <c r="D190" s="43">
        <f t="shared" si="68"/>
        <v>2447.4916666666668</v>
      </c>
      <c r="E190" s="43">
        <v>2197.9</v>
      </c>
      <c r="F190" s="43">
        <v>2190.9</v>
      </c>
      <c r="G190" s="43">
        <f t="shared" si="69"/>
        <v>6843.1867000000002</v>
      </c>
      <c r="H190" s="44">
        <f t="shared" si="70"/>
        <v>2.4185625602305461E-2</v>
      </c>
      <c r="I190" s="43">
        <v>2209.3000000000002</v>
      </c>
      <c r="J190" s="43"/>
      <c r="K190" s="43"/>
      <c r="L190" s="43">
        <f t="shared" si="71"/>
        <v>2209.3000000000002</v>
      </c>
      <c r="M190" s="43">
        <v>2093.1</v>
      </c>
      <c r="N190" s="43">
        <f t="shared" si="72"/>
        <v>-116.20000000000027</v>
      </c>
      <c r="O190" s="43">
        <f t="shared" si="73"/>
        <v>94.740415516226847</v>
      </c>
      <c r="P190" s="43">
        <v>7949.9</v>
      </c>
      <c r="Q190" s="44">
        <f t="shared" si="74"/>
        <v>3.243582203225498E-2</v>
      </c>
      <c r="R190" s="43">
        <f>6201897*Q190/100</f>
        <v>2011.6362735437606</v>
      </c>
      <c r="S190" s="43"/>
      <c r="T190" s="43"/>
      <c r="U190" s="43"/>
      <c r="V190" s="43"/>
      <c r="W190" s="43"/>
      <c r="X190" s="43">
        <f t="shared" si="76"/>
        <v>2011.6362735437606</v>
      </c>
      <c r="Y190" s="43">
        <v>1766.0639999999999</v>
      </c>
      <c r="Z190" s="43">
        <f t="shared" si="77"/>
        <v>1766.0639999999999</v>
      </c>
      <c r="AA190" s="43"/>
      <c r="AB190" s="43"/>
      <c r="AC190" s="43"/>
      <c r="AD190" s="43">
        <f t="shared" si="67"/>
        <v>1766.0639999999999</v>
      </c>
      <c r="AE190" s="43">
        <v>2050</v>
      </c>
      <c r="AF190" s="43">
        <f>1423.9+232.4</f>
        <v>1656.3000000000002</v>
      </c>
      <c r="AG190" s="43"/>
      <c r="AH190" s="42">
        <f t="shared" si="53"/>
        <v>3706.3</v>
      </c>
      <c r="AI190" s="41">
        <v>2307.5</v>
      </c>
      <c r="AJ190" s="40">
        <v>3751.6</v>
      </c>
      <c r="AK190" s="49">
        <v>1568.1</v>
      </c>
      <c r="AL190" s="39">
        <f t="shared" si="54"/>
        <v>1568.1</v>
      </c>
      <c r="AM190" s="49"/>
      <c r="AN190" s="49">
        <f t="shared" si="55"/>
        <v>1568.1</v>
      </c>
    </row>
    <row r="191" spans="1:40" s="18" customFormat="1" ht="20.399999999999999" x14ac:dyDescent="0.25">
      <c r="A191" s="46">
        <v>43821</v>
      </c>
      <c r="B191" s="45" t="s">
        <v>114</v>
      </c>
      <c r="C191" s="43">
        <v>11196</v>
      </c>
      <c r="D191" s="43">
        <f t="shared" si="68"/>
        <v>933</v>
      </c>
      <c r="E191" s="43">
        <v>857.8</v>
      </c>
      <c r="F191" s="43">
        <v>959.4</v>
      </c>
      <c r="G191" s="43">
        <f t="shared" si="69"/>
        <v>2608.6680000000001</v>
      </c>
      <c r="H191" s="44">
        <f t="shared" si="70"/>
        <v>1.0014153947436539E-2</v>
      </c>
      <c r="I191" s="43">
        <v>933.4</v>
      </c>
      <c r="J191" s="43"/>
      <c r="K191" s="43"/>
      <c r="L191" s="43">
        <f t="shared" si="71"/>
        <v>933.4</v>
      </c>
      <c r="M191" s="43">
        <v>933.4</v>
      </c>
      <c r="N191" s="43">
        <f t="shared" si="72"/>
        <v>0</v>
      </c>
      <c r="O191" s="43">
        <f t="shared" si="73"/>
        <v>100</v>
      </c>
      <c r="P191" s="43">
        <v>4050.5000000000005</v>
      </c>
      <c r="Q191" s="44">
        <f t="shared" si="74"/>
        <v>1.6526157202184786E-2</v>
      </c>
      <c r="R191" s="43">
        <f>6201897*Q191/100</f>
        <v>1024.9352477375821</v>
      </c>
      <c r="S191" s="43">
        <f>908-908</f>
        <v>0</v>
      </c>
      <c r="T191" s="43"/>
      <c r="U191" s="43"/>
      <c r="V191" s="43">
        <v>908</v>
      </c>
      <c r="W191" s="43"/>
      <c r="X191" s="43">
        <f t="shared" si="76"/>
        <v>1932.9352477375821</v>
      </c>
      <c r="Y191" s="43">
        <v>1246.1310000000001</v>
      </c>
      <c r="Z191" s="43">
        <f t="shared" si="77"/>
        <v>1246.1310000000001</v>
      </c>
      <c r="AA191" s="43"/>
      <c r="AB191" s="43"/>
      <c r="AC191" s="43"/>
      <c r="AD191" s="43">
        <f t="shared" si="67"/>
        <v>1246.1310000000001</v>
      </c>
      <c r="AE191" s="43">
        <v>973.4</v>
      </c>
      <c r="AF191" s="43"/>
      <c r="AG191" s="43"/>
      <c r="AH191" s="42">
        <f t="shared" si="53"/>
        <v>973.4</v>
      </c>
      <c r="AI191" s="41">
        <f>578+1023.1</f>
        <v>1601.1</v>
      </c>
      <c r="AJ191" s="49">
        <v>216.5</v>
      </c>
      <c r="AK191" s="49">
        <v>221.5</v>
      </c>
      <c r="AL191" s="39">
        <f t="shared" si="54"/>
        <v>221.5</v>
      </c>
      <c r="AM191" s="49"/>
      <c r="AN191" s="49">
        <f t="shared" si="55"/>
        <v>221.5</v>
      </c>
    </row>
    <row r="192" spans="1:40" s="18" customFormat="1" ht="20.399999999999999" x14ac:dyDescent="0.25">
      <c r="A192" s="48">
        <v>43910</v>
      </c>
      <c r="B192" s="45" t="s">
        <v>113</v>
      </c>
      <c r="C192" s="43">
        <v>823076.4</v>
      </c>
      <c r="D192" s="43">
        <f t="shared" si="68"/>
        <v>68589.7</v>
      </c>
      <c r="E192" s="43"/>
      <c r="F192" s="43"/>
      <c r="G192" s="43">
        <f t="shared" si="69"/>
        <v>191776.80120000002</v>
      </c>
      <c r="H192" s="44">
        <f t="shared" si="70"/>
        <v>0</v>
      </c>
      <c r="I192" s="43">
        <f>30000+100048.3</f>
        <v>130048.3</v>
      </c>
      <c r="J192" s="43"/>
      <c r="K192" s="43"/>
      <c r="L192" s="43">
        <f t="shared" si="71"/>
        <v>130048.3</v>
      </c>
      <c r="M192" s="43">
        <v>130048.3</v>
      </c>
      <c r="N192" s="43">
        <f t="shared" si="72"/>
        <v>0</v>
      </c>
      <c r="O192" s="43">
        <f t="shared" si="73"/>
        <v>100</v>
      </c>
      <c r="P192" s="43">
        <v>69499.999999999985</v>
      </c>
      <c r="Q192" s="44">
        <f t="shared" si="74"/>
        <v>0.28356201099909695</v>
      </c>
      <c r="R192" s="43">
        <f>6201897*Q192/100-17586.2</f>
        <v>2.3853292663261527E-2</v>
      </c>
      <c r="S192" s="43"/>
      <c r="T192" s="43"/>
      <c r="U192" s="43">
        <v>162753.60000000001</v>
      </c>
      <c r="V192" s="43"/>
      <c r="W192" s="43"/>
      <c r="X192" s="43">
        <f t="shared" si="76"/>
        <v>162753.62385329267</v>
      </c>
      <c r="Y192" s="43"/>
      <c r="Z192" s="43">
        <f t="shared" si="77"/>
        <v>0</v>
      </c>
      <c r="AA192" s="43"/>
      <c r="AB192" s="43"/>
      <c r="AC192" s="43">
        <v>147661.6</v>
      </c>
      <c r="AD192" s="43">
        <f t="shared" si="67"/>
        <v>147661.6</v>
      </c>
      <c r="AE192" s="43"/>
      <c r="AF192" s="43"/>
      <c r="AG192" s="43"/>
      <c r="AH192" s="42">
        <f t="shared" si="53"/>
        <v>0</v>
      </c>
      <c r="AI192" s="41">
        <f>54598</f>
        <v>54598</v>
      </c>
      <c r="AJ192" s="40">
        <v>0</v>
      </c>
      <c r="AK192" s="49">
        <f>78173.9-13000</f>
        <v>65173.899999999994</v>
      </c>
      <c r="AL192" s="39">
        <f t="shared" si="54"/>
        <v>65173.899999999994</v>
      </c>
      <c r="AM192" s="49"/>
      <c r="AN192" s="49">
        <f t="shared" si="55"/>
        <v>65173.899999999994</v>
      </c>
    </row>
    <row r="193" spans="1:40" s="18" customFormat="1" ht="20.399999999999999" x14ac:dyDescent="0.25">
      <c r="A193" s="46">
        <v>44110</v>
      </c>
      <c r="B193" s="45" t="s">
        <v>112</v>
      </c>
      <c r="C193" s="43">
        <v>15492.6</v>
      </c>
      <c r="D193" s="43">
        <f t="shared" si="68"/>
        <v>1291.05</v>
      </c>
      <c r="E193" s="43">
        <v>1013</v>
      </c>
      <c r="F193" s="43">
        <v>1577.4</v>
      </c>
      <c r="G193" s="43">
        <f t="shared" si="69"/>
        <v>3609.7758000000003</v>
      </c>
      <c r="H193" s="44">
        <f t="shared" si="70"/>
        <v>1.4275073951925826E-2</v>
      </c>
      <c r="I193" s="43">
        <v>969.7</v>
      </c>
      <c r="J193" s="43"/>
      <c r="K193" s="43"/>
      <c r="L193" s="43">
        <f t="shared" si="71"/>
        <v>969.7</v>
      </c>
      <c r="M193" s="43">
        <v>655.6</v>
      </c>
      <c r="N193" s="43">
        <f t="shared" si="72"/>
        <v>-314.10000000000002</v>
      </c>
      <c r="O193" s="43">
        <f t="shared" si="73"/>
        <v>67.608538723316485</v>
      </c>
      <c r="P193" s="43">
        <v>4047.5000000000005</v>
      </c>
      <c r="Q193" s="44">
        <f t="shared" si="74"/>
        <v>1.651391711537907E-2</v>
      </c>
      <c r="R193" s="43">
        <f>6201897*Q193/100</f>
        <v>1024.1761301611812</v>
      </c>
      <c r="S193" s="43"/>
      <c r="T193" s="43"/>
      <c r="U193" s="43"/>
      <c r="V193" s="43"/>
      <c r="W193" s="43"/>
      <c r="X193" s="43">
        <f t="shared" si="76"/>
        <v>1024.1761301611812</v>
      </c>
      <c r="Y193" s="43">
        <v>1247.5340000000001</v>
      </c>
      <c r="Z193" s="43">
        <f t="shared" si="77"/>
        <v>1247.5340000000001</v>
      </c>
      <c r="AA193" s="43"/>
      <c r="AB193" s="43"/>
      <c r="AC193" s="43">
        <v>457.3</v>
      </c>
      <c r="AD193" s="43">
        <f t="shared" si="67"/>
        <v>1704.8340000000001</v>
      </c>
      <c r="AE193" s="43">
        <v>1570.4</v>
      </c>
      <c r="AF193" s="43"/>
      <c r="AG193" s="43"/>
      <c r="AH193" s="42">
        <f t="shared" ref="AH193:AH244" si="78">AE193+AF193+AG193</f>
        <v>1570.4</v>
      </c>
      <c r="AI193" s="41">
        <v>1349.7</v>
      </c>
      <c r="AJ193" s="40">
        <v>2001</v>
      </c>
      <c r="AK193" s="49">
        <f>1411.5-200</f>
        <v>1211.5</v>
      </c>
      <c r="AL193" s="39">
        <f t="shared" si="54"/>
        <v>1211.5</v>
      </c>
      <c r="AM193" s="49"/>
      <c r="AN193" s="49">
        <f t="shared" si="55"/>
        <v>1211.5</v>
      </c>
    </row>
    <row r="194" spans="1:40" s="18" customFormat="1" ht="20.399999999999999" x14ac:dyDescent="0.25">
      <c r="A194" s="46">
        <v>44121</v>
      </c>
      <c r="B194" s="45" t="s">
        <v>111</v>
      </c>
      <c r="C194" s="43">
        <f>696592.3+447232.5</f>
        <v>1143824.8</v>
      </c>
      <c r="D194" s="43">
        <f t="shared" si="68"/>
        <v>95318.733333333337</v>
      </c>
      <c r="E194" s="43">
        <v>78415.600000000006</v>
      </c>
      <c r="F194" s="43">
        <v>127085.3</v>
      </c>
      <c r="G194" s="43">
        <f t="shared" si="69"/>
        <v>266511.17840000003</v>
      </c>
      <c r="H194" s="44">
        <f t="shared" si="70"/>
        <v>1.1324662386841082</v>
      </c>
      <c r="I194" s="43">
        <f>7990664.7*H194/100</f>
        <v>90491.579973948785</v>
      </c>
      <c r="J194" s="43"/>
      <c r="K194" s="43"/>
      <c r="L194" s="43">
        <f t="shared" si="71"/>
        <v>90491.579973948785</v>
      </c>
      <c r="M194" s="43">
        <v>90491.6</v>
      </c>
      <c r="N194" s="43">
        <f t="shared" si="72"/>
        <v>2.0026051221066155E-2</v>
      </c>
      <c r="O194" s="43">
        <f t="shared" si="73"/>
        <v>100.00002213029238</v>
      </c>
      <c r="P194" s="43">
        <v>375792.3</v>
      </c>
      <c r="Q194" s="44">
        <f t="shared" si="74"/>
        <v>1.5332434576399421</v>
      </c>
      <c r="R194" s="43">
        <f>6201897*Q194/100</f>
        <v>95090.180002067835</v>
      </c>
      <c r="S194" s="43"/>
      <c r="T194" s="43">
        <v>30000</v>
      </c>
      <c r="U194" s="43"/>
      <c r="V194" s="43"/>
      <c r="W194" s="43"/>
      <c r="X194" s="43">
        <f t="shared" si="76"/>
        <v>125090.18000206783</v>
      </c>
      <c r="Y194" s="43">
        <v>109891.53300000001</v>
      </c>
      <c r="Z194" s="43">
        <f t="shared" si="77"/>
        <v>109891.53300000001</v>
      </c>
      <c r="AA194" s="43"/>
      <c r="AB194" s="43"/>
      <c r="AC194" s="43">
        <v>28047.7</v>
      </c>
      <c r="AD194" s="43">
        <f t="shared" si="67"/>
        <v>137939.23300000001</v>
      </c>
      <c r="AE194" s="43">
        <v>157943.9</v>
      </c>
      <c r="AF194" s="43"/>
      <c r="AG194" s="43"/>
      <c r="AH194" s="42">
        <f t="shared" si="78"/>
        <v>157943.9</v>
      </c>
      <c r="AI194" s="41">
        <v>90720</v>
      </c>
      <c r="AJ194" s="40">
        <v>192540.7</v>
      </c>
      <c r="AK194" s="49">
        <f>150000-60000</f>
        <v>90000</v>
      </c>
      <c r="AL194" s="39">
        <f t="shared" ref="AL194:AL257" si="79">AK194</f>
        <v>90000</v>
      </c>
      <c r="AM194" s="49"/>
      <c r="AN194" s="49">
        <f t="shared" ref="AN194:AN257" si="80">AK194+AM194</f>
        <v>90000</v>
      </c>
    </row>
    <row r="195" spans="1:40" s="18" customFormat="1" ht="13.5" customHeight="1" x14ac:dyDescent="0.25">
      <c r="A195" s="46">
        <v>44210</v>
      </c>
      <c r="B195" s="45" t="s">
        <v>110</v>
      </c>
      <c r="C195" s="43">
        <v>7793.4</v>
      </c>
      <c r="D195" s="43">
        <f t="shared" si="68"/>
        <v>649.44999999999993</v>
      </c>
      <c r="E195" s="43">
        <v>234.1</v>
      </c>
      <c r="F195" s="43">
        <v>343.1</v>
      </c>
      <c r="G195" s="43">
        <f t="shared" si="69"/>
        <v>1815.8622</v>
      </c>
      <c r="H195" s="44">
        <f t="shared" si="70"/>
        <v>3.1808109500662393E-3</v>
      </c>
      <c r="I195" s="43">
        <v>701</v>
      </c>
      <c r="J195" s="43"/>
      <c r="K195" s="43"/>
      <c r="L195" s="43">
        <f t="shared" si="71"/>
        <v>701</v>
      </c>
      <c r="M195" s="43">
        <v>701</v>
      </c>
      <c r="N195" s="43">
        <f t="shared" si="72"/>
        <v>0</v>
      </c>
      <c r="O195" s="43">
        <f t="shared" si="73"/>
        <v>100</v>
      </c>
      <c r="P195" s="43">
        <v>2212.6000000000004</v>
      </c>
      <c r="Q195" s="44">
        <f t="shared" si="74"/>
        <v>9.0274720221093837E-3</v>
      </c>
      <c r="R195" s="43">
        <f>6201897*Q195/100</f>
        <v>559.87451651504114</v>
      </c>
      <c r="S195" s="43"/>
      <c r="T195" s="43"/>
      <c r="U195" s="43"/>
      <c r="V195" s="43"/>
      <c r="W195" s="43"/>
      <c r="X195" s="43">
        <f t="shared" si="76"/>
        <v>559.87451651504114</v>
      </c>
      <c r="Y195" s="43">
        <v>253.2</v>
      </c>
      <c r="Z195" s="43">
        <f t="shared" si="77"/>
        <v>253.2</v>
      </c>
      <c r="AA195" s="43"/>
      <c r="AB195" s="43"/>
      <c r="AC195" s="43">
        <f>700+140+250</f>
        <v>1090</v>
      </c>
      <c r="AD195" s="43">
        <f t="shared" si="67"/>
        <v>1343.2</v>
      </c>
      <c r="AE195" s="43">
        <v>294.5</v>
      </c>
      <c r="AF195" s="43"/>
      <c r="AG195" s="43"/>
      <c r="AH195" s="42">
        <v>294.5</v>
      </c>
      <c r="AI195" s="41">
        <f>749.5+1000</f>
        <v>1749.5</v>
      </c>
      <c r="AJ195" s="40">
        <v>2928.6</v>
      </c>
      <c r="AK195" s="49">
        <f>1584-700</f>
        <v>884</v>
      </c>
      <c r="AL195" s="39">
        <f t="shared" si="79"/>
        <v>884</v>
      </c>
      <c r="AM195" s="49"/>
      <c r="AN195" s="49">
        <f t="shared" si="80"/>
        <v>884</v>
      </c>
    </row>
    <row r="196" spans="1:40" s="18" customFormat="1" ht="20.399999999999999" x14ac:dyDescent="0.25">
      <c r="A196" s="46">
        <v>44320</v>
      </c>
      <c r="B196" s="45" t="s">
        <v>109</v>
      </c>
      <c r="C196" s="43">
        <v>792.7</v>
      </c>
      <c r="D196" s="43">
        <f t="shared" si="68"/>
        <v>66.058333333333337</v>
      </c>
      <c r="E196" s="43">
        <v>52.1</v>
      </c>
      <c r="F196" s="43">
        <v>52.2</v>
      </c>
      <c r="G196" s="43">
        <f t="shared" si="69"/>
        <v>184.69909999999999</v>
      </c>
      <c r="H196" s="44">
        <f t="shared" si="70"/>
        <v>5.7477231824655029E-4</v>
      </c>
      <c r="I196" s="43">
        <v>73.7</v>
      </c>
      <c r="J196" s="43"/>
      <c r="K196" s="43"/>
      <c r="L196" s="43">
        <f t="shared" si="71"/>
        <v>73.7</v>
      </c>
      <c r="M196" s="43">
        <v>73.7</v>
      </c>
      <c r="N196" s="43">
        <f t="shared" si="72"/>
        <v>0</v>
      </c>
      <c r="O196" s="43">
        <f t="shared" si="73"/>
        <v>100</v>
      </c>
      <c r="P196" s="43">
        <v>201.7</v>
      </c>
      <c r="Q196" s="44">
        <f t="shared" si="74"/>
        <v>8.2294183623766721E-4</v>
      </c>
      <c r="R196" s="43">
        <f>6201897*Q196/100+2</f>
        <v>53.038005053368799</v>
      </c>
      <c r="S196" s="43"/>
      <c r="T196" s="43"/>
      <c r="U196" s="43"/>
      <c r="V196" s="43"/>
      <c r="W196" s="43"/>
      <c r="X196" s="43">
        <f t="shared" si="76"/>
        <v>53.038005053368799</v>
      </c>
      <c r="Y196" s="43">
        <v>54.7</v>
      </c>
      <c r="Z196" s="43">
        <f t="shared" si="77"/>
        <v>54.7</v>
      </c>
      <c r="AA196" s="43"/>
      <c r="AB196" s="43"/>
      <c r="AC196" s="43"/>
      <c r="AD196" s="43">
        <f t="shared" si="67"/>
        <v>54.7</v>
      </c>
      <c r="AE196" s="43">
        <v>81.099999999999994</v>
      </c>
      <c r="AF196" s="43"/>
      <c r="AG196" s="43"/>
      <c r="AH196" s="42">
        <f t="shared" si="78"/>
        <v>81.099999999999994</v>
      </c>
      <c r="AI196" s="41">
        <v>69</v>
      </c>
      <c r="AJ196" s="40">
        <v>60.7</v>
      </c>
      <c r="AK196" s="49">
        <v>86.4</v>
      </c>
      <c r="AL196" s="39">
        <f t="shared" si="79"/>
        <v>86.4</v>
      </c>
      <c r="AM196" s="49"/>
      <c r="AN196" s="49">
        <f t="shared" si="80"/>
        <v>86.4</v>
      </c>
    </row>
    <row r="197" spans="1:40" s="18" customFormat="1" ht="20.399999999999999" x14ac:dyDescent="0.25">
      <c r="A197" s="46">
        <v>44410</v>
      </c>
      <c r="B197" s="45" t="s">
        <v>108</v>
      </c>
      <c r="C197" s="43">
        <v>3314</v>
      </c>
      <c r="D197" s="43">
        <f t="shared" si="68"/>
        <v>276.16666666666669</v>
      </c>
      <c r="E197" s="43">
        <v>188.9</v>
      </c>
      <c r="F197" s="43">
        <v>298.7</v>
      </c>
      <c r="G197" s="43">
        <f t="shared" si="69"/>
        <v>772.16199999999992</v>
      </c>
      <c r="H197" s="44">
        <f t="shared" si="70"/>
        <v>2.6870468109014179E-3</v>
      </c>
      <c r="I197" s="43">
        <v>307.7</v>
      </c>
      <c r="J197" s="43"/>
      <c r="K197" s="43"/>
      <c r="L197" s="43">
        <f t="shared" si="71"/>
        <v>307.7</v>
      </c>
      <c r="M197" s="43">
        <v>307.7</v>
      </c>
      <c r="N197" s="43">
        <f t="shared" si="72"/>
        <v>0</v>
      </c>
      <c r="O197" s="43">
        <f t="shared" si="73"/>
        <v>100</v>
      </c>
      <c r="P197" s="43">
        <v>858.3</v>
      </c>
      <c r="Q197" s="44">
        <f t="shared" si="74"/>
        <v>3.5018888351154671E-3</v>
      </c>
      <c r="R197" s="43">
        <f>6201897*Q197/100+100</f>
        <v>317.18353860836112</v>
      </c>
      <c r="S197" s="43"/>
      <c r="T197" s="43"/>
      <c r="U197" s="43"/>
      <c r="V197" s="43"/>
      <c r="W197" s="43"/>
      <c r="X197" s="43">
        <f t="shared" si="76"/>
        <v>317.18353860836112</v>
      </c>
      <c r="Y197" s="43">
        <v>256.79999999999995</v>
      </c>
      <c r="Z197" s="43">
        <f t="shared" si="77"/>
        <v>256.79999999999995</v>
      </c>
      <c r="AA197" s="43"/>
      <c r="AB197" s="43"/>
      <c r="AC197" s="43"/>
      <c r="AD197" s="43">
        <f t="shared" si="67"/>
        <v>256.79999999999995</v>
      </c>
      <c r="AE197" s="43">
        <v>218.7</v>
      </c>
      <c r="AF197" s="43">
        <v>1000</v>
      </c>
      <c r="AG197" s="43"/>
      <c r="AH197" s="42">
        <f t="shared" si="78"/>
        <v>1218.7</v>
      </c>
      <c r="AI197" s="41">
        <v>326.10000000000002</v>
      </c>
      <c r="AJ197" s="40">
        <v>305.5</v>
      </c>
      <c r="AK197" s="49">
        <f>736.8-400</f>
        <v>336.79999999999995</v>
      </c>
      <c r="AL197" s="39">
        <f t="shared" si="79"/>
        <v>336.79999999999995</v>
      </c>
      <c r="AM197" s="49"/>
      <c r="AN197" s="49">
        <f t="shared" si="80"/>
        <v>336.79999999999995</v>
      </c>
    </row>
    <row r="198" spans="1:40" s="18" customFormat="1" ht="20.399999999999999" x14ac:dyDescent="0.25">
      <c r="A198" s="46">
        <v>44420</v>
      </c>
      <c r="B198" s="45" t="s">
        <v>107</v>
      </c>
      <c r="C198" s="43">
        <v>41353.5</v>
      </c>
      <c r="D198" s="43">
        <f t="shared" si="68"/>
        <v>3446.125</v>
      </c>
      <c r="E198" s="43">
        <v>1547.5</v>
      </c>
      <c r="F198" s="43">
        <v>1590.7</v>
      </c>
      <c r="G198" s="43">
        <f t="shared" si="69"/>
        <v>9635.3654999999999</v>
      </c>
      <c r="H198" s="44">
        <f t="shared" si="70"/>
        <v>1.7293868543828608E-2</v>
      </c>
      <c r="I198" s="43">
        <v>3898.2</v>
      </c>
      <c r="J198" s="43"/>
      <c r="K198" s="43"/>
      <c r="L198" s="43">
        <f t="shared" si="71"/>
        <v>3898.2</v>
      </c>
      <c r="M198" s="43">
        <v>3898.2</v>
      </c>
      <c r="N198" s="43">
        <f t="shared" si="72"/>
        <v>0</v>
      </c>
      <c r="O198" s="43">
        <f t="shared" si="73"/>
        <v>100</v>
      </c>
      <c r="P198" s="43">
        <v>11737.500000000002</v>
      </c>
      <c r="Q198" s="44">
        <f t="shared" si="74"/>
        <v>4.7889339627365496E-2</v>
      </c>
      <c r="R198" s="43">
        <f>6201897*Q198/100</f>
        <v>2970.0475176693917</v>
      </c>
      <c r="S198" s="43"/>
      <c r="T198" s="43"/>
      <c r="U198" s="43"/>
      <c r="V198" s="43"/>
      <c r="W198" s="43"/>
      <c r="X198" s="43">
        <f t="shared" si="76"/>
        <v>2970.0475176693917</v>
      </c>
      <c r="Y198" s="43">
        <v>1669.2329999999999</v>
      </c>
      <c r="Z198" s="43">
        <f t="shared" si="77"/>
        <v>1669.2329999999999</v>
      </c>
      <c r="AA198" s="43"/>
      <c r="AB198" s="43"/>
      <c r="AC198" s="43"/>
      <c r="AD198" s="43">
        <f t="shared" si="67"/>
        <v>1669.2329999999999</v>
      </c>
      <c r="AE198" s="43">
        <v>2074.8000000000002</v>
      </c>
      <c r="AF198" s="43"/>
      <c r="AG198" s="43"/>
      <c r="AH198" s="42">
        <f t="shared" si="78"/>
        <v>2074.8000000000002</v>
      </c>
      <c r="AI198" s="41">
        <v>2074.8000000000002</v>
      </c>
      <c r="AJ198" s="40">
        <v>3922.2</v>
      </c>
      <c r="AK198" s="49">
        <f>6000-3000</f>
        <v>3000</v>
      </c>
      <c r="AL198" s="39">
        <f t="shared" si="79"/>
        <v>3000</v>
      </c>
      <c r="AM198" s="49"/>
      <c r="AN198" s="49">
        <f t="shared" si="80"/>
        <v>3000</v>
      </c>
    </row>
    <row r="199" spans="1:40" s="18" customFormat="1" ht="20.399999999999999" x14ac:dyDescent="0.25">
      <c r="A199" s="46">
        <v>44521</v>
      </c>
      <c r="B199" s="45" t="s">
        <v>106</v>
      </c>
      <c r="C199" s="43">
        <v>19246.5</v>
      </c>
      <c r="D199" s="43">
        <f t="shared" si="68"/>
        <v>1603.875</v>
      </c>
      <c r="E199" s="43">
        <v>1271.2</v>
      </c>
      <c r="F199" s="43">
        <v>1203.7</v>
      </c>
      <c r="G199" s="43">
        <f t="shared" si="69"/>
        <v>4484.4345000000003</v>
      </c>
      <c r="H199" s="44">
        <f t="shared" si="70"/>
        <v>1.3638581116283674E-2</v>
      </c>
      <c r="I199" s="43">
        <f>7990664.7*H199/100+200</f>
        <v>1289.8132868397456</v>
      </c>
      <c r="J199" s="43"/>
      <c r="K199" s="43"/>
      <c r="L199" s="43">
        <f t="shared" si="71"/>
        <v>1289.8132868397456</v>
      </c>
      <c r="M199" s="43">
        <v>1289.8</v>
      </c>
      <c r="N199" s="43">
        <f t="shared" si="72"/>
        <v>-1.3286839745660473E-2</v>
      </c>
      <c r="O199" s="43">
        <f t="shared" si="73"/>
        <v>99.998969863321989</v>
      </c>
      <c r="P199" s="43">
        <v>4987.4000000000005</v>
      </c>
      <c r="Q199" s="44">
        <f t="shared" si="74"/>
        <v>2.0348736311610022E-2</v>
      </c>
      <c r="R199" s="43">
        <f>6201897*Q199/100</f>
        <v>1262.0076668476527</v>
      </c>
      <c r="S199" s="43"/>
      <c r="T199" s="43"/>
      <c r="U199" s="43"/>
      <c r="V199" s="43"/>
      <c r="W199" s="43"/>
      <c r="X199" s="43">
        <f t="shared" si="76"/>
        <v>1262.0076668476527</v>
      </c>
      <c r="Y199" s="43">
        <v>1507.001</v>
      </c>
      <c r="Z199" s="43">
        <f t="shared" si="77"/>
        <v>1507.001</v>
      </c>
      <c r="AA199" s="43"/>
      <c r="AB199" s="43"/>
      <c r="AC199" s="43"/>
      <c r="AD199" s="43">
        <f t="shared" si="67"/>
        <v>1507.001</v>
      </c>
      <c r="AE199" s="43">
        <v>1810</v>
      </c>
      <c r="AF199" s="43"/>
      <c r="AG199" s="43"/>
      <c r="AH199" s="42">
        <f t="shared" si="78"/>
        <v>1810</v>
      </c>
      <c r="AI199" s="41">
        <v>1810</v>
      </c>
      <c r="AJ199" s="40">
        <v>1499.1</v>
      </c>
      <c r="AK199" s="49"/>
      <c r="AL199" s="39">
        <f t="shared" si="79"/>
        <v>0</v>
      </c>
      <c r="AM199" s="49"/>
      <c r="AN199" s="49">
        <f t="shared" si="80"/>
        <v>0</v>
      </c>
    </row>
    <row r="200" spans="1:40" s="18" customFormat="1" ht="20.399999999999999" x14ac:dyDescent="0.25">
      <c r="A200" s="46">
        <v>44620</v>
      </c>
      <c r="B200" s="45" t="s">
        <v>105</v>
      </c>
      <c r="C200" s="43">
        <v>948.7</v>
      </c>
      <c r="D200" s="43">
        <f t="shared" si="68"/>
        <v>79.058333333333337</v>
      </c>
      <c r="E200" s="43">
        <v>37.799999999999997</v>
      </c>
      <c r="F200" s="43">
        <v>37.799999999999997</v>
      </c>
      <c r="G200" s="43">
        <f t="shared" si="69"/>
        <v>221.04710000000003</v>
      </c>
      <c r="H200" s="44">
        <f t="shared" si="70"/>
        <v>4.166134924203182E-4</v>
      </c>
      <c r="I200" s="43">
        <v>147.69999999999999</v>
      </c>
      <c r="J200" s="43"/>
      <c r="K200" s="43"/>
      <c r="L200" s="43">
        <f t="shared" si="71"/>
        <v>147.69999999999999</v>
      </c>
      <c r="M200" s="43">
        <v>147.69999999999999</v>
      </c>
      <c r="N200" s="43">
        <f t="shared" si="72"/>
        <v>0</v>
      </c>
      <c r="O200" s="43">
        <f t="shared" si="73"/>
        <v>100</v>
      </c>
      <c r="P200" s="43">
        <v>246.2</v>
      </c>
      <c r="Q200" s="44">
        <f t="shared" si="74"/>
        <v>1.004503123855794E-3</v>
      </c>
      <c r="R200" s="43">
        <f>6201897*Q200/100</f>
        <v>62.298249103318774</v>
      </c>
      <c r="S200" s="43"/>
      <c r="T200" s="43"/>
      <c r="U200" s="43"/>
      <c r="V200" s="43"/>
      <c r="W200" s="43"/>
      <c r="X200" s="43">
        <f t="shared" si="76"/>
        <v>62.298249103318774</v>
      </c>
      <c r="Y200" s="43">
        <v>80.766999999999996</v>
      </c>
      <c r="Z200" s="43">
        <f t="shared" si="77"/>
        <v>80.766999999999996</v>
      </c>
      <c r="AA200" s="43"/>
      <c r="AB200" s="43"/>
      <c r="AC200" s="43"/>
      <c r="AD200" s="43">
        <f t="shared" si="67"/>
        <v>80.766999999999996</v>
      </c>
      <c r="AE200" s="43">
        <v>99.2</v>
      </c>
      <c r="AF200" s="43"/>
      <c r="AG200" s="42">
        <v>3.9</v>
      </c>
      <c r="AH200" s="42">
        <f t="shared" si="78"/>
        <v>103.10000000000001</v>
      </c>
      <c r="AI200" s="41">
        <v>79</v>
      </c>
      <c r="AJ200" s="40">
        <v>230</v>
      </c>
      <c r="AK200" s="49">
        <f>173.5-100</f>
        <v>73.5</v>
      </c>
      <c r="AL200" s="39">
        <f t="shared" si="79"/>
        <v>73.5</v>
      </c>
      <c r="AM200" s="49"/>
      <c r="AN200" s="49">
        <f t="shared" si="80"/>
        <v>73.5</v>
      </c>
    </row>
    <row r="201" spans="1:40" s="18" customFormat="1" ht="20.399999999999999" x14ac:dyDescent="0.25">
      <c r="A201" s="46">
        <v>44710</v>
      </c>
      <c r="B201" s="45" t="s">
        <v>104</v>
      </c>
      <c r="C201" s="43">
        <v>4553.7</v>
      </c>
      <c r="D201" s="43">
        <f t="shared" si="68"/>
        <v>379.47499999999997</v>
      </c>
      <c r="E201" s="43">
        <v>158.30000000000001</v>
      </c>
      <c r="F201" s="43">
        <v>197.8</v>
      </c>
      <c r="G201" s="43">
        <f t="shared" si="69"/>
        <v>1061.0120999999999</v>
      </c>
      <c r="H201" s="44">
        <f t="shared" si="70"/>
        <v>1.9623818075512611E-3</v>
      </c>
      <c r="I201" s="43">
        <f>7990664.7*H201/100+50</f>
        <v>206.80735037522055</v>
      </c>
      <c r="J201" s="43"/>
      <c r="K201" s="43"/>
      <c r="L201" s="43">
        <f t="shared" si="71"/>
        <v>206.80735037522055</v>
      </c>
      <c r="M201" s="43">
        <v>206.8</v>
      </c>
      <c r="N201" s="43">
        <f t="shared" si="72"/>
        <v>-7.3503752205397177E-3</v>
      </c>
      <c r="O201" s="43">
        <f t="shared" si="73"/>
        <v>99.996445786280233</v>
      </c>
      <c r="P201" s="43">
        <v>1272.5</v>
      </c>
      <c r="Q201" s="44">
        <f t="shared" si="74"/>
        <v>5.1918368200913811E-3</v>
      </c>
      <c r="R201" s="43">
        <f>6201897*Q201/100-100</f>
        <v>221.99237199014277</v>
      </c>
      <c r="S201" s="43">
        <f>491.4-491.4</f>
        <v>0</v>
      </c>
      <c r="T201" s="43">
        <f>491.4-100</f>
        <v>391.4</v>
      </c>
      <c r="U201" s="43"/>
      <c r="V201" s="43"/>
      <c r="W201" s="43"/>
      <c r="X201" s="43">
        <f t="shared" si="76"/>
        <v>613.39237199014269</v>
      </c>
      <c r="Y201" s="43">
        <v>225.03300000000002</v>
      </c>
      <c r="Z201" s="43">
        <f t="shared" si="77"/>
        <v>225.03300000000002</v>
      </c>
      <c r="AA201" s="43"/>
      <c r="AB201" s="43"/>
      <c r="AC201" s="43"/>
      <c r="AD201" s="43">
        <f t="shared" si="67"/>
        <v>225.03300000000002</v>
      </c>
      <c r="AE201" s="43">
        <v>211.8</v>
      </c>
      <c r="AF201" s="43"/>
      <c r="AG201" s="43"/>
      <c r="AH201" s="42">
        <f t="shared" si="78"/>
        <v>211.8</v>
      </c>
      <c r="AI201" s="41">
        <v>225</v>
      </c>
      <c r="AJ201" s="40">
        <v>7898.5</v>
      </c>
      <c r="AK201" s="49">
        <f>2718.8-2300</f>
        <v>418.80000000000018</v>
      </c>
      <c r="AL201" s="39">
        <f t="shared" si="79"/>
        <v>418.80000000000018</v>
      </c>
      <c r="AM201" s="49"/>
      <c r="AN201" s="49">
        <f t="shared" si="80"/>
        <v>418.80000000000018</v>
      </c>
    </row>
    <row r="202" spans="1:40" s="18" customFormat="1" ht="20.399999999999999" x14ac:dyDescent="0.25">
      <c r="A202" s="46">
        <v>44721</v>
      </c>
      <c r="B202" s="45" t="s">
        <v>103</v>
      </c>
      <c r="C202" s="43">
        <v>348314.7</v>
      </c>
      <c r="D202" s="43">
        <f t="shared" si="68"/>
        <v>29026.225000000002</v>
      </c>
      <c r="E202" s="43">
        <v>13132.9</v>
      </c>
      <c r="F202" s="43">
        <v>9254.9</v>
      </c>
      <c r="G202" s="43">
        <f t="shared" si="69"/>
        <v>81157.325100000002</v>
      </c>
      <c r="H202" s="44">
        <f t="shared" si="70"/>
        <v>0.12337380351332805</v>
      </c>
      <c r="I202" s="43">
        <f>7990664.7*H202/100+1300</f>
        <v>11158.386966386865</v>
      </c>
      <c r="J202" s="43"/>
      <c r="K202" s="43"/>
      <c r="L202" s="43">
        <f t="shared" si="71"/>
        <v>11158.386966386865</v>
      </c>
      <c r="M202" s="43">
        <v>11152.9</v>
      </c>
      <c r="N202" s="43">
        <f t="shared" si="72"/>
        <v>-5.4869663868648786</v>
      </c>
      <c r="O202" s="43">
        <f t="shared" si="73"/>
        <v>99.950826527137011</v>
      </c>
      <c r="P202" s="43">
        <v>129635.1</v>
      </c>
      <c r="Q202" s="44">
        <f t="shared" si="74"/>
        <v>0.52891495902257613</v>
      </c>
      <c r="R202" s="43">
        <f>6201897*Q202/100-20000</f>
        <v>12802.76097617238</v>
      </c>
      <c r="S202" s="43">
        <f>6309.1-6309.1</f>
        <v>0</v>
      </c>
      <c r="T202" s="43"/>
      <c r="U202" s="43"/>
      <c r="V202" s="43"/>
      <c r="W202" s="43"/>
      <c r="X202" s="43">
        <f t="shared" si="76"/>
        <v>12802.76097617238</v>
      </c>
      <c r="Y202" s="43">
        <v>13139.965999999999</v>
      </c>
      <c r="Z202" s="43">
        <f t="shared" si="77"/>
        <v>13139.965999999999</v>
      </c>
      <c r="AA202" s="43">
        <v>50000</v>
      </c>
      <c r="AB202" s="43"/>
      <c r="AC202" s="43"/>
      <c r="AD202" s="43">
        <f t="shared" si="67"/>
        <v>63139.966</v>
      </c>
      <c r="AE202" s="43">
        <f>19438.9-5000</f>
        <v>14438.900000000001</v>
      </c>
      <c r="AF202" s="43"/>
      <c r="AG202" s="43"/>
      <c r="AH202" s="42">
        <f t="shared" si="78"/>
        <v>14438.900000000001</v>
      </c>
      <c r="AI202" s="41">
        <v>14438.9</v>
      </c>
      <c r="AJ202" s="40">
        <v>13210.5</v>
      </c>
      <c r="AK202" s="49">
        <f>20117.4-10000</f>
        <v>10117.400000000001</v>
      </c>
      <c r="AL202" s="39">
        <f t="shared" si="79"/>
        <v>10117.400000000001</v>
      </c>
      <c r="AM202" s="49"/>
      <c r="AN202" s="49">
        <f t="shared" si="80"/>
        <v>10117.400000000001</v>
      </c>
    </row>
    <row r="203" spans="1:40" s="18" customFormat="1" ht="30.6" x14ac:dyDescent="0.25">
      <c r="A203" s="46">
        <v>44731</v>
      </c>
      <c r="B203" s="45" t="s">
        <v>102</v>
      </c>
      <c r="C203" s="43">
        <v>45268.4</v>
      </c>
      <c r="D203" s="43">
        <f t="shared" si="68"/>
        <v>3772.3666666666668</v>
      </c>
      <c r="E203" s="43">
        <v>3362.2</v>
      </c>
      <c r="F203" s="43">
        <v>3203.8</v>
      </c>
      <c r="G203" s="43">
        <f t="shared" si="69"/>
        <v>10547.537199999999</v>
      </c>
      <c r="H203" s="44">
        <f t="shared" si="70"/>
        <v>3.6183653323172082E-2</v>
      </c>
      <c r="I203" s="43">
        <f>7990664.7*H203/100+400</f>
        <v>3291.3144132650887</v>
      </c>
      <c r="J203" s="43"/>
      <c r="K203" s="43"/>
      <c r="L203" s="43">
        <f t="shared" si="71"/>
        <v>3291.3144132650887</v>
      </c>
      <c r="M203" s="43">
        <v>3291.3</v>
      </c>
      <c r="N203" s="43">
        <f t="shared" si="72"/>
        <v>-1.4413265088478511E-2</v>
      </c>
      <c r="O203" s="43">
        <f t="shared" si="73"/>
        <v>99.999562081792291</v>
      </c>
      <c r="P203" s="43">
        <v>11852.199999999999</v>
      </c>
      <c r="Q203" s="44">
        <f t="shared" si="74"/>
        <v>4.8357318946237376E-2</v>
      </c>
      <c r="R203" s="43">
        <f>6201897*Q203/100</f>
        <v>2999.0711130071272</v>
      </c>
      <c r="S203" s="43">
        <f>1373.1-1373.1</f>
        <v>0</v>
      </c>
      <c r="T203" s="43">
        <v>950</v>
      </c>
      <c r="U203" s="43"/>
      <c r="V203" s="43"/>
      <c r="W203" s="43"/>
      <c r="X203" s="43">
        <f t="shared" si="76"/>
        <v>3949.0711130071272</v>
      </c>
      <c r="Y203" s="43">
        <v>3624.2000000000003</v>
      </c>
      <c r="Z203" s="43">
        <f t="shared" si="77"/>
        <v>3624.2000000000003</v>
      </c>
      <c r="AA203" s="43"/>
      <c r="AB203" s="43"/>
      <c r="AC203" s="43"/>
      <c r="AD203" s="43">
        <f t="shared" si="67"/>
        <v>3624.2000000000003</v>
      </c>
      <c r="AE203" s="43">
        <v>3957.4</v>
      </c>
      <c r="AF203" s="43"/>
      <c r="AG203" s="43"/>
      <c r="AH203" s="42">
        <f t="shared" si="78"/>
        <v>3957.4</v>
      </c>
      <c r="AI203" s="41">
        <v>3904.4</v>
      </c>
      <c r="AJ203" s="40">
        <v>3788.2</v>
      </c>
      <c r="AK203" s="49">
        <f>4917-1500</f>
        <v>3417</v>
      </c>
      <c r="AL203" s="39">
        <f t="shared" si="79"/>
        <v>3417</v>
      </c>
      <c r="AM203" s="49"/>
      <c r="AN203" s="49">
        <f t="shared" si="80"/>
        <v>3417</v>
      </c>
    </row>
    <row r="204" spans="1:40" s="18" customFormat="1" ht="25.5" customHeight="1" x14ac:dyDescent="0.25">
      <c r="A204" s="46">
        <v>44741</v>
      </c>
      <c r="B204" s="45" t="s">
        <v>101</v>
      </c>
      <c r="C204" s="43">
        <v>48769.2</v>
      </c>
      <c r="D204" s="43">
        <f t="shared" si="68"/>
        <v>4064.1</v>
      </c>
      <c r="E204" s="43">
        <v>2813</v>
      </c>
      <c r="F204" s="43">
        <v>2644.1</v>
      </c>
      <c r="G204" s="43">
        <f t="shared" si="69"/>
        <v>11363.223599999999</v>
      </c>
      <c r="H204" s="44">
        <f t="shared" si="70"/>
        <v>3.0072771024959248E-2</v>
      </c>
      <c r="I204" s="43">
        <f>7990664.7*H204/100+300</f>
        <v>2703.014298603247</v>
      </c>
      <c r="J204" s="43"/>
      <c r="K204" s="43"/>
      <c r="L204" s="43">
        <f t="shared" si="71"/>
        <v>2703.014298603247</v>
      </c>
      <c r="M204" s="43">
        <v>2703</v>
      </c>
      <c r="N204" s="43">
        <f t="shared" si="72"/>
        <v>-1.4298603246970742E-2</v>
      </c>
      <c r="O204" s="43">
        <f t="shared" si="73"/>
        <v>99.999471012667058</v>
      </c>
      <c r="P204" s="43">
        <v>13109.300000000001</v>
      </c>
      <c r="Q204" s="44">
        <f t="shared" si="74"/>
        <v>5.3486323320726094E-2</v>
      </c>
      <c r="R204" s="43">
        <f>6201897*Q204/100</f>
        <v>3317.1666814384121</v>
      </c>
      <c r="S204" s="43">
        <f>1841.4-1841.4</f>
        <v>0</v>
      </c>
      <c r="T204" s="43">
        <f>1841.4-70.7-77.1</f>
        <v>1693.6000000000001</v>
      </c>
      <c r="U204" s="43"/>
      <c r="V204" s="43"/>
      <c r="W204" s="43"/>
      <c r="X204" s="43">
        <f t="shared" si="76"/>
        <v>5010.766681438412</v>
      </c>
      <c r="Y204" s="43">
        <v>3312.5660000000003</v>
      </c>
      <c r="Z204" s="43">
        <f t="shared" si="77"/>
        <v>3312.5660000000003</v>
      </c>
      <c r="AA204" s="43"/>
      <c r="AB204" s="43"/>
      <c r="AC204" s="43"/>
      <c r="AD204" s="43">
        <f t="shared" si="67"/>
        <v>3312.5660000000003</v>
      </c>
      <c r="AE204" s="43">
        <v>4927.5</v>
      </c>
      <c r="AF204" s="43"/>
      <c r="AG204" s="43"/>
      <c r="AH204" s="42">
        <f t="shared" si="78"/>
        <v>4927.5</v>
      </c>
      <c r="AI204" s="41">
        <f>3781.5+15000</f>
        <v>18781.5</v>
      </c>
      <c r="AJ204" s="40">
        <v>3300.5</v>
      </c>
      <c r="AK204" s="49">
        <f>5952-3000</f>
        <v>2952</v>
      </c>
      <c r="AL204" s="39">
        <f t="shared" si="79"/>
        <v>2952</v>
      </c>
      <c r="AM204" s="49"/>
      <c r="AN204" s="49">
        <f t="shared" si="80"/>
        <v>2952</v>
      </c>
    </row>
    <row r="205" spans="1:40" s="18" customFormat="1" ht="13.5" customHeight="1" x14ac:dyDescent="0.25">
      <c r="A205" s="46">
        <v>44821</v>
      </c>
      <c r="B205" s="45" t="s">
        <v>100</v>
      </c>
      <c r="C205" s="43">
        <v>10302.700000000001</v>
      </c>
      <c r="D205" s="43">
        <f t="shared" si="68"/>
        <v>858.55833333333339</v>
      </c>
      <c r="E205" s="43">
        <v>713.2</v>
      </c>
      <c r="F205" s="43">
        <v>668.1</v>
      </c>
      <c r="G205" s="43">
        <f t="shared" si="69"/>
        <v>2400.5291000000002</v>
      </c>
      <c r="H205" s="44">
        <f t="shared" si="70"/>
        <v>7.6120134534416089E-3</v>
      </c>
      <c r="I205" s="43">
        <v>730</v>
      </c>
      <c r="J205" s="43"/>
      <c r="K205" s="43"/>
      <c r="L205" s="43">
        <f t="shared" si="71"/>
        <v>730</v>
      </c>
      <c r="M205" s="43">
        <v>730</v>
      </c>
      <c r="N205" s="43">
        <f t="shared" si="72"/>
        <v>0</v>
      </c>
      <c r="O205" s="43">
        <f t="shared" si="73"/>
        <v>100</v>
      </c>
      <c r="P205" s="43">
        <v>2770.3999999999996</v>
      </c>
      <c r="Q205" s="44">
        <f t="shared" si="74"/>
        <v>1.1303312162185587E-2</v>
      </c>
      <c r="R205" s="43">
        <f>6201897*Q205/100</f>
        <v>701.01977788722297</v>
      </c>
      <c r="S205" s="43"/>
      <c r="T205" s="43"/>
      <c r="U205" s="43"/>
      <c r="V205" s="43"/>
      <c r="W205" s="43"/>
      <c r="X205" s="43">
        <f t="shared" si="76"/>
        <v>701.01977788722297</v>
      </c>
      <c r="Y205" s="43">
        <v>618.5</v>
      </c>
      <c r="Z205" s="43">
        <f t="shared" si="77"/>
        <v>618.5</v>
      </c>
      <c r="AA205" s="43"/>
      <c r="AB205" s="43"/>
      <c r="AC205" s="43"/>
      <c r="AD205" s="43">
        <f t="shared" si="67"/>
        <v>618.5</v>
      </c>
      <c r="AE205" s="43">
        <v>968.2</v>
      </c>
      <c r="AF205" s="43"/>
      <c r="AG205" s="43"/>
      <c r="AH205" s="42">
        <f t="shared" si="78"/>
        <v>968.2</v>
      </c>
      <c r="AI205" s="41">
        <f>983.7+422</f>
        <v>1405.7</v>
      </c>
      <c r="AJ205" s="40">
        <v>1002.5</v>
      </c>
      <c r="AK205" s="49">
        <f>1864.8-800-300</f>
        <v>764.8</v>
      </c>
      <c r="AL205" s="39">
        <f t="shared" si="79"/>
        <v>764.8</v>
      </c>
      <c r="AM205" s="49"/>
      <c r="AN205" s="49">
        <f t="shared" si="80"/>
        <v>764.8</v>
      </c>
    </row>
    <row r="206" spans="1:40" s="18" customFormat="1" ht="15" customHeight="1" x14ac:dyDescent="0.25">
      <c r="A206" s="46">
        <v>45110</v>
      </c>
      <c r="B206" s="45" t="s">
        <v>99</v>
      </c>
      <c r="C206" s="43">
        <v>52321</v>
      </c>
      <c r="D206" s="43">
        <f t="shared" si="68"/>
        <v>4360.083333333333</v>
      </c>
      <c r="E206" s="43">
        <v>4101.8</v>
      </c>
      <c r="F206" s="43">
        <v>4073.3</v>
      </c>
      <c r="G206" s="43">
        <f t="shared" si="69"/>
        <v>12190.793</v>
      </c>
      <c r="H206" s="44">
        <f t="shared" si="70"/>
        <v>4.5051018014356403E-2</v>
      </c>
      <c r="I206" s="43">
        <v>3702.3</v>
      </c>
      <c r="J206" s="43"/>
      <c r="K206" s="43"/>
      <c r="L206" s="43">
        <f t="shared" si="71"/>
        <v>3702.3</v>
      </c>
      <c r="M206" s="43">
        <v>3702.3</v>
      </c>
      <c r="N206" s="43">
        <f t="shared" si="72"/>
        <v>0</v>
      </c>
      <c r="O206" s="43">
        <f t="shared" si="73"/>
        <v>100</v>
      </c>
      <c r="P206" s="43">
        <v>13787.300000000001</v>
      </c>
      <c r="Q206" s="44">
        <f t="shared" si="74"/>
        <v>5.6252582938818005E-2</v>
      </c>
      <c r="R206" s="43">
        <f>6201897*Q206/100+200</f>
        <v>3688.7272537050658</v>
      </c>
      <c r="S206" s="43"/>
      <c r="T206" s="43"/>
      <c r="U206" s="43"/>
      <c r="V206" s="43"/>
      <c r="W206" s="43"/>
      <c r="X206" s="43">
        <f t="shared" si="76"/>
        <v>3688.7272537050658</v>
      </c>
      <c r="Y206" s="43">
        <v>3684.0660000000003</v>
      </c>
      <c r="Z206" s="43">
        <f t="shared" si="77"/>
        <v>3684.0660000000003</v>
      </c>
      <c r="AA206" s="43"/>
      <c r="AB206" s="43"/>
      <c r="AC206" s="43"/>
      <c r="AD206" s="43">
        <f t="shared" si="67"/>
        <v>3684.0660000000003</v>
      </c>
      <c r="AE206" s="43">
        <f>5385.6-1200</f>
        <v>4185.6000000000004</v>
      </c>
      <c r="AF206" s="43">
        <v>1000</v>
      </c>
      <c r="AG206" s="43"/>
      <c r="AH206" s="42">
        <f t="shared" si="78"/>
        <v>5185.6000000000004</v>
      </c>
      <c r="AI206" s="41">
        <v>4608.8</v>
      </c>
      <c r="AJ206" s="40">
        <v>4632.3999999999996</v>
      </c>
      <c r="AK206" s="49">
        <f>5201.3-1500</f>
        <v>3701.3</v>
      </c>
      <c r="AL206" s="39">
        <f t="shared" si="79"/>
        <v>3701.3</v>
      </c>
      <c r="AM206" s="49"/>
      <c r="AN206" s="49">
        <f t="shared" si="80"/>
        <v>3701.3</v>
      </c>
    </row>
    <row r="207" spans="1:40" s="18" customFormat="1" ht="20.399999999999999" x14ac:dyDescent="0.25">
      <c r="A207" s="46">
        <v>45121</v>
      </c>
      <c r="B207" s="45" t="s">
        <v>98</v>
      </c>
      <c r="C207" s="43">
        <v>681696.5</v>
      </c>
      <c r="D207" s="43">
        <f t="shared" si="68"/>
        <v>56808.041666666664</v>
      </c>
      <c r="E207" s="43">
        <v>28741.5</v>
      </c>
      <c r="F207" s="43">
        <v>54702.8</v>
      </c>
      <c r="G207" s="43">
        <f t="shared" si="69"/>
        <v>158835.28450000001</v>
      </c>
      <c r="H207" s="44">
        <f t="shared" si="70"/>
        <v>0.45984155086731165</v>
      </c>
      <c r="I207" s="43">
        <v>40001.9</v>
      </c>
      <c r="J207" s="43"/>
      <c r="K207" s="43">
        <v>20969</v>
      </c>
      <c r="L207" s="43">
        <f t="shared" si="71"/>
        <v>60970.9</v>
      </c>
      <c r="M207" s="43">
        <v>60970.9</v>
      </c>
      <c r="N207" s="43">
        <f t="shared" si="72"/>
        <v>0</v>
      </c>
      <c r="O207" s="43">
        <f t="shared" si="73"/>
        <v>100</v>
      </c>
      <c r="P207" s="43">
        <v>173484.59999999998</v>
      </c>
      <c r="Q207" s="44">
        <f t="shared" si="74"/>
        <v>0.70782218781833017</v>
      </c>
      <c r="R207" s="43">
        <f>6201897*Q207/100</f>
        <v>43898.403031639384</v>
      </c>
      <c r="S207" s="43">
        <v>11013.2</v>
      </c>
      <c r="T207" s="43"/>
      <c r="U207" s="43"/>
      <c r="V207" s="43"/>
      <c r="W207" s="43"/>
      <c r="X207" s="43">
        <f t="shared" si="76"/>
        <v>54911.603031639388</v>
      </c>
      <c r="Y207" s="43">
        <v>25983.334000000003</v>
      </c>
      <c r="Z207" s="43">
        <f>Y207+22818.2+3000</f>
        <v>51801.534</v>
      </c>
      <c r="AA207" s="43">
        <v>35000</v>
      </c>
      <c r="AB207" s="43"/>
      <c r="AC207" s="43"/>
      <c r="AD207" s="43">
        <f t="shared" si="67"/>
        <v>86801.534</v>
      </c>
      <c r="AE207" s="43">
        <v>27358.3</v>
      </c>
      <c r="AF207" s="43">
        <v>15926.1</v>
      </c>
      <c r="AG207" s="43">
        <v>-3295</v>
      </c>
      <c r="AH207" s="42">
        <f t="shared" si="78"/>
        <v>39989.4</v>
      </c>
      <c r="AI207" s="41">
        <f>49621+32922.6</f>
        <v>82543.600000000006</v>
      </c>
      <c r="AJ207" s="40">
        <v>197906.8</v>
      </c>
      <c r="AK207" s="49">
        <f>55093+45000-45000</f>
        <v>55093</v>
      </c>
      <c r="AL207" s="39">
        <f t="shared" si="79"/>
        <v>55093</v>
      </c>
      <c r="AM207" s="49">
        <f>90900+22983.9</f>
        <v>113883.9</v>
      </c>
      <c r="AN207" s="49">
        <f t="shared" si="80"/>
        <v>168976.9</v>
      </c>
    </row>
    <row r="208" spans="1:40" s="18" customFormat="1" ht="20.399999999999999" x14ac:dyDescent="0.25">
      <c r="A208" s="46">
        <v>45151</v>
      </c>
      <c r="B208" s="45" t="s">
        <v>97</v>
      </c>
      <c r="C208" s="43">
        <v>100000</v>
      </c>
      <c r="D208" s="43">
        <f t="shared" si="68"/>
        <v>8333.3333333333339</v>
      </c>
      <c r="E208" s="43"/>
      <c r="F208" s="43"/>
      <c r="G208" s="43">
        <f t="shared" si="69"/>
        <v>23300</v>
      </c>
      <c r="H208" s="44">
        <f t="shared" si="70"/>
        <v>0</v>
      </c>
      <c r="I208" s="43">
        <f>7990664.7*H208/100+8333.3</f>
        <v>8333.2999999999993</v>
      </c>
      <c r="J208" s="43"/>
      <c r="K208" s="43">
        <v>-8333.2999999999993</v>
      </c>
      <c r="L208" s="43">
        <f t="shared" si="71"/>
        <v>0</v>
      </c>
      <c r="M208" s="43">
        <v>0</v>
      </c>
      <c r="N208" s="43">
        <f t="shared" si="72"/>
        <v>0</v>
      </c>
      <c r="O208" s="43"/>
      <c r="P208" s="43">
        <v>0</v>
      </c>
      <c r="Q208" s="44">
        <f t="shared" si="74"/>
        <v>0</v>
      </c>
      <c r="R208" s="43">
        <f>6201897*Q208/100</f>
        <v>0</v>
      </c>
      <c r="S208" s="43"/>
      <c r="T208" s="43"/>
      <c r="U208" s="43"/>
      <c r="V208" s="43"/>
      <c r="W208" s="43"/>
      <c r="X208" s="43">
        <f t="shared" si="76"/>
        <v>0</v>
      </c>
      <c r="Y208" s="43"/>
      <c r="Z208" s="43">
        <f>Y208</f>
        <v>0</v>
      </c>
      <c r="AA208" s="43"/>
      <c r="AB208" s="43"/>
      <c r="AC208" s="43"/>
      <c r="AD208" s="43">
        <f t="shared" si="67"/>
        <v>0</v>
      </c>
      <c r="AE208" s="43"/>
      <c r="AF208" s="43"/>
      <c r="AG208" s="43"/>
      <c r="AH208" s="42">
        <f t="shared" si="78"/>
        <v>0</v>
      </c>
      <c r="AI208" s="41"/>
      <c r="AJ208" s="40">
        <v>0</v>
      </c>
      <c r="AK208" s="49"/>
      <c r="AL208" s="39">
        <f t="shared" si="79"/>
        <v>0</v>
      </c>
      <c r="AM208" s="49"/>
      <c r="AN208" s="49">
        <f t="shared" si="80"/>
        <v>0</v>
      </c>
    </row>
    <row r="209" spans="1:40" s="18" customFormat="1" ht="20.399999999999999" x14ac:dyDescent="0.25">
      <c r="A209" s="46">
        <v>45221</v>
      </c>
      <c r="B209" s="45" t="s">
        <v>96</v>
      </c>
      <c r="C209" s="43">
        <v>131080</v>
      </c>
      <c r="D209" s="43">
        <f t="shared" si="68"/>
        <v>10923.333333333334</v>
      </c>
      <c r="E209" s="43">
        <v>12405.4</v>
      </c>
      <c r="F209" s="43">
        <v>2593.6</v>
      </c>
      <c r="G209" s="43">
        <f t="shared" si="69"/>
        <v>30541.64</v>
      </c>
      <c r="H209" s="44">
        <f t="shared" si="70"/>
        <v>8.2655896465771872E-2</v>
      </c>
      <c r="I209" s="43">
        <v>17616.599999999999</v>
      </c>
      <c r="J209" s="43"/>
      <c r="K209" s="43"/>
      <c r="L209" s="43">
        <f t="shared" si="71"/>
        <v>17616.599999999999</v>
      </c>
      <c r="M209" s="43">
        <v>17616.599999999999</v>
      </c>
      <c r="N209" s="43">
        <f t="shared" si="72"/>
        <v>0</v>
      </c>
      <c r="O209" s="43">
        <f t="shared" ref="O209:O219" si="81">M209/L209*100</f>
        <v>100</v>
      </c>
      <c r="P209" s="43">
        <v>44212.1</v>
      </c>
      <c r="Q209" s="44">
        <f t="shared" si="74"/>
        <v>0.18038664728767162</v>
      </c>
      <c r="R209" s="43">
        <f>6201897*Q209/100</f>
        <v>11187.394066534687</v>
      </c>
      <c r="S209" s="43"/>
      <c r="T209" s="43"/>
      <c r="U209" s="43"/>
      <c r="V209" s="43"/>
      <c r="W209" s="43"/>
      <c r="X209" s="43">
        <f t="shared" si="76"/>
        <v>11187.394066534687</v>
      </c>
      <c r="Y209" s="43">
        <v>2153.1329999999998</v>
      </c>
      <c r="Z209" s="43">
        <f>Y209+(15507-2140.3)</f>
        <v>15519.833000000001</v>
      </c>
      <c r="AA209" s="43"/>
      <c r="AB209" s="43"/>
      <c r="AC209" s="43"/>
      <c r="AD209" s="43">
        <f t="shared" si="67"/>
        <v>15519.833000000001</v>
      </c>
      <c r="AE209" s="43">
        <v>2373.4</v>
      </c>
      <c r="AF209" s="43"/>
      <c r="AG209" s="43">
        <v>3295</v>
      </c>
      <c r="AH209" s="42">
        <f t="shared" si="78"/>
        <v>5668.4</v>
      </c>
      <c r="AI209" s="41">
        <f>5668.4+15000</f>
        <v>20668.400000000001</v>
      </c>
      <c r="AJ209" s="40">
        <v>12047.7</v>
      </c>
      <c r="AK209" s="49">
        <f>18156.7-8000</f>
        <v>10156.700000000001</v>
      </c>
      <c r="AL209" s="39">
        <f t="shared" si="79"/>
        <v>10156.700000000001</v>
      </c>
      <c r="AM209" s="49"/>
      <c r="AN209" s="49">
        <f t="shared" si="80"/>
        <v>10156.700000000001</v>
      </c>
    </row>
    <row r="210" spans="1:40" s="18" customFormat="1" ht="23.25" customHeight="1" x14ac:dyDescent="0.25">
      <c r="A210" s="46">
        <v>45320</v>
      </c>
      <c r="B210" s="45" t="s">
        <v>95</v>
      </c>
      <c r="C210" s="43">
        <v>809654.6</v>
      </c>
      <c r="D210" s="43">
        <f t="shared" si="68"/>
        <v>67471.21666666666</v>
      </c>
      <c r="E210" s="43">
        <v>61041.8</v>
      </c>
      <c r="F210" s="43">
        <v>64444.1</v>
      </c>
      <c r="G210" s="43">
        <f t="shared" si="69"/>
        <v>188649.52179999999</v>
      </c>
      <c r="H210" s="44">
        <f t="shared" si="70"/>
        <v>0.69152273873686254</v>
      </c>
      <c r="I210" s="43">
        <v>59165.599999999999</v>
      </c>
      <c r="J210" s="43"/>
      <c r="K210" s="43"/>
      <c r="L210" s="43">
        <f t="shared" si="71"/>
        <v>59165.599999999999</v>
      </c>
      <c r="M210" s="43">
        <v>57278.1</v>
      </c>
      <c r="N210" s="43">
        <f t="shared" si="72"/>
        <v>-1887.5</v>
      </c>
      <c r="O210" s="43">
        <f t="shared" si="81"/>
        <v>96.809801641494388</v>
      </c>
      <c r="P210" s="43">
        <v>207600.7</v>
      </c>
      <c r="Q210" s="44">
        <f t="shared" si="74"/>
        <v>0.84701686297583079</v>
      </c>
      <c r="R210" s="43">
        <f>6201897*Q210/100+7000</f>
        <v>59531.113414392166</v>
      </c>
      <c r="S210" s="43">
        <v>6000</v>
      </c>
      <c r="T210" s="43"/>
      <c r="U210" s="43"/>
      <c r="V210" s="43"/>
      <c r="W210" s="43"/>
      <c r="X210" s="43">
        <f t="shared" si="76"/>
        <v>65531.113414392166</v>
      </c>
      <c r="Y210" s="43">
        <v>63568.699000000001</v>
      </c>
      <c r="Z210" s="43">
        <f t="shared" ref="Z210:Z232" si="82">Y210</f>
        <v>63568.699000000001</v>
      </c>
      <c r="AA210" s="43"/>
      <c r="AB210" s="43">
        <v>3746.2</v>
      </c>
      <c r="AC210" s="43"/>
      <c r="AD210" s="43">
        <f t="shared" si="67"/>
        <v>67314.899000000005</v>
      </c>
      <c r="AE210" s="43">
        <v>64964.7</v>
      </c>
      <c r="AF210" s="43"/>
      <c r="AG210" s="43"/>
      <c r="AH210" s="42">
        <f t="shared" si="78"/>
        <v>64964.7</v>
      </c>
      <c r="AI210" s="41">
        <f>64964.7+6447.3</f>
        <v>71412</v>
      </c>
      <c r="AJ210" s="40">
        <v>68836.399999999994</v>
      </c>
      <c r="AK210" s="49">
        <f>78454.2-12000</f>
        <v>66454.2</v>
      </c>
      <c r="AL210" s="39">
        <f t="shared" si="79"/>
        <v>66454.2</v>
      </c>
      <c r="AM210" s="49"/>
      <c r="AN210" s="49">
        <f t="shared" si="80"/>
        <v>66454.2</v>
      </c>
    </row>
    <row r="211" spans="1:40" s="18" customFormat="1" ht="12.75" customHeight="1" x14ac:dyDescent="0.25">
      <c r="A211" s="46">
        <v>45420</v>
      </c>
      <c r="B211" s="45" t="s">
        <v>94</v>
      </c>
      <c r="C211" s="43">
        <v>119519.9</v>
      </c>
      <c r="D211" s="43">
        <f t="shared" si="68"/>
        <v>9959.9916666666668</v>
      </c>
      <c r="E211" s="43">
        <v>10365.799999999999</v>
      </c>
      <c r="F211" s="43">
        <v>10658.1</v>
      </c>
      <c r="G211" s="43">
        <f t="shared" si="69"/>
        <v>27848.136699999999</v>
      </c>
      <c r="H211" s="44">
        <f t="shared" si="70"/>
        <v>0.11585767729226891</v>
      </c>
      <c r="I211" s="43">
        <v>6055.7</v>
      </c>
      <c r="J211" s="43"/>
      <c r="K211" s="43">
        <v>5012.8</v>
      </c>
      <c r="L211" s="43">
        <f t="shared" si="71"/>
        <v>11068.5</v>
      </c>
      <c r="M211" s="43">
        <v>11068.5</v>
      </c>
      <c r="N211" s="43">
        <f t="shared" si="72"/>
        <v>0</v>
      </c>
      <c r="O211" s="43">
        <f t="shared" si="81"/>
        <v>100</v>
      </c>
      <c r="P211" s="43">
        <v>35972.800000000003</v>
      </c>
      <c r="Q211" s="44">
        <f t="shared" si="74"/>
        <v>0.14677006488155855</v>
      </c>
      <c r="R211" s="43">
        <f>6201897*Q211/100+1400</f>
        <v>10502.528250787434</v>
      </c>
      <c r="S211" s="43"/>
      <c r="T211" s="43"/>
      <c r="U211" s="43"/>
      <c r="V211" s="43"/>
      <c r="W211" s="43"/>
      <c r="X211" s="43">
        <f t="shared" si="76"/>
        <v>10502.528250787434</v>
      </c>
      <c r="Y211" s="43">
        <v>11139.8</v>
      </c>
      <c r="Z211" s="43">
        <f t="shared" si="82"/>
        <v>11139.8</v>
      </c>
      <c r="AA211" s="43"/>
      <c r="AB211" s="43"/>
      <c r="AC211" s="43"/>
      <c r="AD211" s="43">
        <f t="shared" si="67"/>
        <v>11139.8</v>
      </c>
      <c r="AE211" s="43">
        <v>11973.1</v>
      </c>
      <c r="AF211" s="43"/>
      <c r="AG211" s="43"/>
      <c r="AH211" s="42">
        <f t="shared" si="78"/>
        <v>11973.1</v>
      </c>
      <c r="AI211" s="41">
        <v>11973.1</v>
      </c>
      <c r="AJ211" s="40">
        <v>11236.5</v>
      </c>
      <c r="AK211" s="49">
        <v>9552.5</v>
      </c>
      <c r="AL211" s="39">
        <f t="shared" si="79"/>
        <v>9552.5</v>
      </c>
      <c r="AM211" s="49"/>
      <c r="AN211" s="49">
        <f t="shared" si="80"/>
        <v>9552.5</v>
      </c>
    </row>
    <row r="212" spans="1:40" s="18" customFormat="1" ht="20.399999999999999" x14ac:dyDescent="0.25">
      <c r="A212" s="46">
        <v>46120</v>
      </c>
      <c r="B212" s="45" t="s">
        <v>93</v>
      </c>
      <c r="C212" s="43">
        <v>14915.6</v>
      </c>
      <c r="D212" s="43">
        <f t="shared" si="68"/>
        <v>1242.9666666666667</v>
      </c>
      <c r="E212" s="43">
        <v>1083.5999999999999</v>
      </c>
      <c r="F212" s="43">
        <v>1244.9000000000001</v>
      </c>
      <c r="G212" s="43">
        <f t="shared" si="69"/>
        <v>3475.3348000000005</v>
      </c>
      <c r="H212" s="44">
        <f t="shared" si="70"/>
        <v>1.2831805781755436E-2</v>
      </c>
      <c r="I212" s="43">
        <v>1211.5999999999999</v>
      </c>
      <c r="J212" s="43"/>
      <c r="K212" s="43"/>
      <c r="L212" s="43">
        <f t="shared" si="71"/>
        <v>1211.5999999999999</v>
      </c>
      <c r="M212" s="43">
        <v>1203.8</v>
      </c>
      <c r="N212" s="43">
        <f t="shared" si="72"/>
        <v>-7.7999999999999545</v>
      </c>
      <c r="O212" s="43">
        <f t="shared" si="81"/>
        <v>99.356223175965681</v>
      </c>
      <c r="P212" s="43">
        <v>3866.0000000000005</v>
      </c>
      <c r="Q212" s="44">
        <f t="shared" si="74"/>
        <v>1.5773391863633229E-2</v>
      </c>
      <c r="R212" s="43">
        <f>6201897*Q212/100+200</f>
        <v>1178.2495167889133</v>
      </c>
      <c r="S212" s="43"/>
      <c r="T212" s="43"/>
      <c r="U212" s="43"/>
      <c r="V212" s="43"/>
      <c r="W212" s="43"/>
      <c r="X212" s="43">
        <f t="shared" si="76"/>
        <v>1178.2495167889133</v>
      </c>
      <c r="Y212" s="43">
        <v>1177.6660000000002</v>
      </c>
      <c r="Z212" s="43">
        <f t="shared" si="82"/>
        <v>1177.6660000000002</v>
      </c>
      <c r="AA212" s="43"/>
      <c r="AB212" s="43"/>
      <c r="AC212" s="43"/>
      <c r="AD212" s="43">
        <f t="shared" si="67"/>
        <v>1177.6660000000002</v>
      </c>
      <c r="AE212" s="43">
        <v>1399.2</v>
      </c>
      <c r="AF212" s="43"/>
      <c r="AG212" s="43"/>
      <c r="AH212" s="42">
        <f t="shared" si="78"/>
        <v>1399.2</v>
      </c>
      <c r="AI212" s="41">
        <v>1254.3</v>
      </c>
      <c r="AJ212" s="40">
        <v>1169.5</v>
      </c>
      <c r="AK212" s="49">
        <v>1339</v>
      </c>
      <c r="AL212" s="39">
        <f t="shared" si="79"/>
        <v>1339</v>
      </c>
      <c r="AM212" s="49"/>
      <c r="AN212" s="49">
        <f t="shared" si="80"/>
        <v>1339</v>
      </c>
    </row>
    <row r="213" spans="1:40" s="18" customFormat="1" ht="20.399999999999999" x14ac:dyDescent="0.25">
      <c r="A213" s="46">
        <v>47110</v>
      </c>
      <c r="B213" s="45" t="s">
        <v>92</v>
      </c>
      <c r="C213" s="43">
        <f>106799.4+13750</f>
        <v>120549.4</v>
      </c>
      <c r="D213" s="43">
        <f t="shared" si="68"/>
        <v>10045.783333333333</v>
      </c>
      <c r="E213" s="43">
        <v>14551.3</v>
      </c>
      <c r="F213" s="43">
        <v>9920.5</v>
      </c>
      <c r="G213" s="43">
        <f t="shared" si="69"/>
        <v>28088.010200000001</v>
      </c>
      <c r="H213" s="44">
        <f t="shared" si="70"/>
        <v>0.13485822835729555</v>
      </c>
      <c r="I213" s="43">
        <v>8811.7999999999993</v>
      </c>
      <c r="J213" s="43"/>
      <c r="K213" s="43"/>
      <c r="L213" s="43">
        <f t="shared" si="71"/>
        <v>8811.7999999999993</v>
      </c>
      <c r="M213" s="43">
        <v>8697.5</v>
      </c>
      <c r="N213" s="43">
        <f t="shared" si="72"/>
        <v>-114.29999999999927</v>
      </c>
      <c r="O213" s="43">
        <f t="shared" si="81"/>
        <v>98.702875689416473</v>
      </c>
      <c r="P213" s="43">
        <v>31138.1</v>
      </c>
      <c r="Q213" s="44">
        <f t="shared" si="74"/>
        <v>0.12704434898835945</v>
      </c>
      <c r="R213" s="43">
        <f>6201897*Q213/100+1100</f>
        <v>8979.1596685785953</v>
      </c>
      <c r="S213" s="43"/>
      <c r="T213" s="43"/>
      <c r="U213" s="43"/>
      <c r="V213" s="43"/>
      <c r="W213" s="43"/>
      <c r="X213" s="43">
        <f t="shared" si="76"/>
        <v>8979.1596685785953</v>
      </c>
      <c r="Y213" s="43">
        <v>8972.2659999999996</v>
      </c>
      <c r="Z213" s="43">
        <f t="shared" si="82"/>
        <v>8972.2659999999996</v>
      </c>
      <c r="AA213" s="43">
        <v>3000</v>
      </c>
      <c r="AB213" s="43"/>
      <c r="AC213" s="43"/>
      <c r="AD213" s="43">
        <f t="shared" si="67"/>
        <v>11972.266</v>
      </c>
      <c r="AE213" s="43">
        <v>12700</v>
      </c>
      <c r="AF213" s="43"/>
      <c r="AG213" s="43"/>
      <c r="AH213" s="42">
        <f t="shared" si="78"/>
        <v>12700</v>
      </c>
      <c r="AI213" s="41">
        <f>9441.5+3500</f>
        <v>12941.5</v>
      </c>
      <c r="AJ213" s="40">
        <v>11291.4</v>
      </c>
      <c r="AK213" s="49">
        <v>8000</v>
      </c>
      <c r="AL213" s="39">
        <f t="shared" si="79"/>
        <v>8000</v>
      </c>
      <c r="AM213" s="49"/>
      <c r="AN213" s="49">
        <f t="shared" si="80"/>
        <v>8000</v>
      </c>
    </row>
    <row r="214" spans="1:40" s="18" customFormat="1" ht="20.399999999999999" x14ac:dyDescent="0.25">
      <c r="A214" s="46">
        <v>47120</v>
      </c>
      <c r="B214" s="45" t="s">
        <v>91</v>
      </c>
      <c r="C214" s="43">
        <f>519508.7+103700.1+8529.9</f>
        <v>631738.70000000007</v>
      </c>
      <c r="D214" s="43">
        <f t="shared" si="68"/>
        <v>52644.89166666667</v>
      </c>
      <c r="E214" s="43">
        <v>50799.4</v>
      </c>
      <c r="F214" s="43">
        <v>49722.8</v>
      </c>
      <c r="G214" s="43">
        <f t="shared" si="69"/>
        <v>147195.11710000003</v>
      </c>
      <c r="H214" s="44">
        <f t="shared" si="70"/>
        <v>0.55395376729859414</v>
      </c>
      <c r="I214" s="43">
        <v>44050.8</v>
      </c>
      <c r="J214" s="43"/>
      <c r="K214" s="43"/>
      <c r="L214" s="43">
        <f t="shared" si="71"/>
        <v>44050.8</v>
      </c>
      <c r="M214" s="43">
        <v>43996.800000000003</v>
      </c>
      <c r="N214" s="43">
        <f t="shared" si="72"/>
        <v>-54</v>
      </c>
      <c r="O214" s="43">
        <f t="shared" si="81"/>
        <v>99.877414258083846</v>
      </c>
      <c r="P214" s="43">
        <v>166278.5</v>
      </c>
      <c r="Q214" s="44">
        <f t="shared" si="74"/>
        <v>0.67842109130810579</v>
      </c>
      <c r="R214" s="43">
        <f>6201897*Q214/100+2000</f>
        <v>44074.977309204674</v>
      </c>
      <c r="S214" s="43"/>
      <c r="T214" s="43"/>
      <c r="U214" s="43"/>
      <c r="V214" s="43"/>
      <c r="W214" s="43"/>
      <c r="X214" s="43">
        <f t="shared" si="76"/>
        <v>44074.977309204674</v>
      </c>
      <c r="Y214" s="43">
        <v>50131.1</v>
      </c>
      <c r="Z214" s="43">
        <f t="shared" si="82"/>
        <v>50131.1</v>
      </c>
      <c r="AA214" s="43">
        <v>499.1</v>
      </c>
      <c r="AB214" s="43"/>
      <c r="AC214" s="43"/>
      <c r="AD214" s="43">
        <f t="shared" si="67"/>
        <v>50630.2</v>
      </c>
      <c r="AE214" s="43">
        <v>67500</v>
      </c>
      <c r="AF214" s="43"/>
      <c r="AG214" s="43"/>
      <c r="AH214" s="42">
        <f t="shared" si="78"/>
        <v>67500</v>
      </c>
      <c r="AI214" s="41">
        <v>52986.400000000001</v>
      </c>
      <c r="AJ214" s="40">
        <v>58792.2</v>
      </c>
      <c r="AK214" s="49">
        <f>55000-5000</f>
        <v>50000</v>
      </c>
      <c r="AL214" s="39">
        <f t="shared" si="79"/>
        <v>50000</v>
      </c>
      <c r="AM214" s="49"/>
      <c r="AN214" s="49">
        <f t="shared" si="80"/>
        <v>50000</v>
      </c>
    </row>
    <row r="215" spans="1:40" s="18" customFormat="1" ht="20.399999999999999" x14ac:dyDescent="0.25">
      <c r="A215" s="46">
        <v>48110</v>
      </c>
      <c r="B215" s="45" t="s">
        <v>90</v>
      </c>
      <c r="C215" s="43">
        <v>105903.3</v>
      </c>
      <c r="D215" s="43">
        <f t="shared" si="68"/>
        <v>8825.2749999999996</v>
      </c>
      <c r="E215" s="43">
        <v>13053.5</v>
      </c>
      <c r="F215" s="43">
        <v>5377.6</v>
      </c>
      <c r="G215" s="43">
        <f t="shared" si="69"/>
        <v>24675.4689</v>
      </c>
      <c r="H215" s="44">
        <f t="shared" si="70"/>
        <v>0.10156937751518687</v>
      </c>
      <c r="I215" s="43">
        <v>5398.1</v>
      </c>
      <c r="J215" s="43"/>
      <c r="K215" s="43"/>
      <c r="L215" s="43">
        <f t="shared" si="71"/>
        <v>5398.1</v>
      </c>
      <c r="M215" s="43">
        <v>1847.7</v>
      </c>
      <c r="N215" s="43">
        <f t="shared" si="72"/>
        <v>-3550.4000000000005</v>
      </c>
      <c r="O215" s="43">
        <f t="shared" si="81"/>
        <v>34.228710101702447</v>
      </c>
      <c r="P215" s="43">
        <v>23788.2</v>
      </c>
      <c r="Q215" s="44">
        <f t="shared" si="74"/>
        <v>9.7056544317247778E-2</v>
      </c>
      <c r="R215" s="43">
        <f>6201897*Q215/100</f>
        <v>6019.3469103150601</v>
      </c>
      <c r="S215" s="43">
        <v>1580</v>
      </c>
      <c r="T215" s="43"/>
      <c r="U215" s="43"/>
      <c r="V215" s="43"/>
      <c r="W215" s="43"/>
      <c r="X215" s="43">
        <f t="shared" si="76"/>
        <v>7599.3469103150601</v>
      </c>
      <c r="Y215" s="43">
        <v>6209.3329999999996</v>
      </c>
      <c r="Z215" s="43">
        <f t="shared" si="82"/>
        <v>6209.3329999999996</v>
      </c>
      <c r="AA215" s="43"/>
      <c r="AB215" s="43"/>
      <c r="AC215" s="43"/>
      <c r="AD215" s="43">
        <f t="shared" si="67"/>
        <v>6209.3329999999996</v>
      </c>
      <c r="AE215" s="43">
        <v>10229.6</v>
      </c>
      <c r="AF215" s="43">
        <v>533</v>
      </c>
      <c r="AG215" s="43"/>
      <c r="AH215" s="42">
        <f t="shared" si="78"/>
        <v>10762.6</v>
      </c>
      <c r="AI215" s="41">
        <f>7897.1+2265</f>
        <v>10162.1</v>
      </c>
      <c r="AJ215" s="40">
        <v>6196.6</v>
      </c>
      <c r="AK215" s="49">
        <v>7548.5</v>
      </c>
      <c r="AL215" s="39">
        <f t="shared" si="79"/>
        <v>7548.5</v>
      </c>
      <c r="AM215" s="49"/>
      <c r="AN215" s="49">
        <f t="shared" si="80"/>
        <v>7548.5</v>
      </c>
    </row>
    <row r="216" spans="1:40" s="18" customFormat="1" ht="20.399999999999999" x14ac:dyDescent="0.25">
      <c r="A216" s="46">
        <v>48120</v>
      </c>
      <c r="B216" s="45" t="s">
        <v>89</v>
      </c>
      <c r="C216" s="43">
        <v>552660.1</v>
      </c>
      <c r="D216" s="43">
        <f t="shared" si="68"/>
        <v>46055.008333333331</v>
      </c>
      <c r="E216" s="43">
        <v>61440.5</v>
      </c>
      <c r="F216" s="43">
        <v>27839.7</v>
      </c>
      <c r="G216" s="43">
        <f t="shared" si="69"/>
        <v>128769.8033</v>
      </c>
      <c r="H216" s="44">
        <f t="shared" si="70"/>
        <v>0.49200179796275789</v>
      </c>
      <c r="I216" s="43">
        <v>23405.1</v>
      </c>
      <c r="J216" s="43"/>
      <c r="K216" s="43"/>
      <c r="L216" s="43">
        <f t="shared" si="71"/>
        <v>23405.1</v>
      </c>
      <c r="M216" s="43">
        <v>22674.1</v>
      </c>
      <c r="N216" s="43">
        <f t="shared" si="72"/>
        <v>-731</v>
      </c>
      <c r="O216" s="43">
        <f t="shared" si="81"/>
        <v>96.876749084601215</v>
      </c>
      <c r="P216" s="43">
        <v>155086</v>
      </c>
      <c r="Q216" s="44">
        <f t="shared" si="74"/>
        <v>0.63275536745044547</v>
      </c>
      <c r="R216" s="43">
        <f>6201897*Q216/100-9000</f>
        <v>30242.836151248157</v>
      </c>
      <c r="S216" s="43">
        <v>7420</v>
      </c>
      <c r="T216" s="43">
        <v>13100</v>
      </c>
      <c r="U216" s="43"/>
      <c r="V216" s="43"/>
      <c r="W216" s="43"/>
      <c r="X216" s="43">
        <f t="shared" si="76"/>
        <v>50762.836151248157</v>
      </c>
      <c r="Y216" s="43">
        <v>35056.567000000003</v>
      </c>
      <c r="Z216" s="43">
        <f t="shared" si="82"/>
        <v>35056.567000000003</v>
      </c>
      <c r="AA216" s="43"/>
      <c r="AB216" s="43"/>
      <c r="AC216" s="43"/>
      <c r="AD216" s="43">
        <f t="shared" si="67"/>
        <v>35056.567000000003</v>
      </c>
      <c r="AE216" s="43">
        <f>52639-6000</f>
        <v>46639</v>
      </c>
      <c r="AF216" s="43">
        <f>972.3+17.2+6.6+200</f>
        <v>1196.0999999999999</v>
      </c>
      <c r="AG216" s="43"/>
      <c r="AH216" s="42">
        <f t="shared" si="78"/>
        <v>47835.1</v>
      </c>
      <c r="AI216" s="41">
        <f>47835.1+15851</f>
        <v>63686.1</v>
      </c>
      <c r="AJ216" s="40">
        <v>47835.1</v>
      </c>
      <c r="AK216" s="49">
        <f>89706.7-50000</f>
        <v>39706.699999999997</v>
      </c>
      <c r="AL216" s="39">
        <f t="shared" si="79"/>
        <v>39706.699999999997</v>
      </c>
      <c r="AM216" s="49"/>
      <c r="AN216" s="49">
        <f t="shared" si="80"/>
        <v>39706.699999999997</v>
      </c>
    </row>
    <row r="217" spans="1:40" s="18" customFormat="1" ht="20.399999999999999" x14ac:dyDescent="0.25">
      <c r="A217" s="46">
        <v>49120</v>
      </c>
      <c r="B217" s="45" t="s">
        <v>88</v>
      </c>
      <c r="C217" s="43">
        <f>7101.3+28000</f>
        <v>35101.300000000003</v>
      </c>
      <c r="D217" s="43">
        <f t="shared" si="68"/>
        <v>2925.1083333333336</v>
      </c>
      <c r="E217" s="43">
        <v>1770.5</v>
      </c>
      <c r="F217" s="43">
        <v>8012.2</v>
      </c>
      <c r="G217" s="43">
        <f t="shared" si="69"/>
        <v>8178.6029000000008</v>
      </c>
      <c r="H217" s="44">
        <f t="shared" si="70"/>
        <v>5.3910116564818089E-2</v>
      </c>
      <c r="I217" s="43">
        <v>888.7</v>
      </c>
      <c r="J217" s="43"/>
      <c r="K217" s="43"/>
      <c r="L217" s="43">
        <f t="shared" si="71"/>
        <v>888.7</v>
      </c>
      <c r="M217" s="43">
        <v>888.7</v>
      </c>
      <c r="N217" s="43">
        <f t="shared" si="72"/>
        <v>0</v>
      </c>
      <c r="O217" s="43">
        <f t="shared" si="81"/>
        <v>100</v>
      </c>
      <c r="P217" s="43">
        <v>10111.300000000001</v>
      </c>
      <c r="Q217" s="44">
        <f t="shared" si="74"/>
        <v>4.1254396572880145E-2</v>
      </c>
      <c r="R217" s="43">
        <f>6201897*Q217/100</f>
        <v>2558.5551834215566</v>
      </c>
      <c r="S217" s="43"/>
      <c r="T217" s="43"/>
      <c r="U217" s="43"/>
      <c r="V217" s="43"/>
      <c r="W217" s="43"/>
      <c r="X217" s="43">
        <f t="shared" si="76"/>
        <v>2558.5551834215566</v>
      </c>
      <c r="Y217" s="43">
        <v>892.13299999999992</v>
      </c>
      <c r="Z217" s="43">
        <f t="shared" si="82"/>
        <v>892.13299999999992</v>
      </c>
      <c r="AA217" s="43">
        <f>5788.8-Z217</f>
        <v>4896.6670000000004</v>
      </c>
      <c r="AB217" s="43"/>
      <c r="AC217" s="43"/>
      <c r="AD217" s="43">
        <f t="shared" si="67"/>
        <v>5788.8</v>
      </c>
      <c r="AE217" s="43">
        <v>4193.6000000000004</v>
      </c>
      <c r="AF217" s="43"/>
      <c r="AG217" s="43"/>
      <c r="AH217" s="42">
        <f t="shared" si="78"/>
        <v>4193.6000000000004</v>
      </c>
      <c r="AI217" s="41">
        <v>2443.1999999999998</v>
      </c>
      <c r="AJ217" s="40">
        <v>5221.3999999999996</v>
      </c>
      <c r="AK217" s="49">
        <v>265.10000000000002</v>
      </c>
      <c r="AL217" s="39">
        <f t="shared" si="79"/>
        <v>265.10000000000002</v>
      </c>
      <c r="AM217" s="49"/>
      <c r="AN217" s="49">
        <f t="shared" si="80"/>
        <v>265.10000000000002</v>
      </c>
    </row>
    <row r="218" spans="1:40" s="18" customFormat="1" ht="20.399999999999999" x14ac:dyDescent="0.25">
      <c r="A218" s="46">
        <v>50121</v>
      </c>
      <c r="B218" s="45" t="s">
        <v>87</v>
      </c>
      <c r="C218" s="43">
        <v>30396.799999999999</v>
      </c>
      <c r="D218" s="43">
        <f t="shared" si="68"/>
        <v>2533.0666666666666</v>
      </c>
      <c r="E218" s="43">
        <v>1158.2</v>
      </c>
      <c r="F218" s="43">
        <v>421.2</v>
      </c>
      <c r="G218" s="43">
        <f t="shared" si="69"/>
        <v>7082.4544000000005</v>
      </c>
      <c r="H218" s="44">
        <f t="shared" si="70"/>
        <v>8.7036951048763307E-3</v>
      </c>
      <c r="I218" s="43">
        <v>3374.9</v>
      </c>
      <c r="J218" s="43"/>
      <c r="K218" s="43"/>
      <c r="L218" s="43">
        <f t="shared" si="71"/>
        <v>3374.9</v>
      </c>
      <c r="M218" s="43">
        <v>3277.3</v>
      </c>
      <c r="N218" s="43">
        <f t="shared" si="72"/>
        <v>-97.599999999999909</v>
      </c>
      <c r="O218" s="43">
        <f t="shared" si="81"/>
        <v>97.108062461109952</v>
      </c>
      <c r="P218" s="43">
        <v>8567.9000000000015</v>
      </c>
      <c r="Q218" s="44">
        <f t="shared" si="74"/>
        <v>3.4957279914232572E-2</v>
      </c>
      <c r="R218" s="43">
        <f>6201897*Q218/100</f>
        <v>2168.0144942823927</v>
      </c>
      <c r="S218" s="43"/>
      <c r="T218" s="43"/>
      <c r="U218" s="43"/>
      <c r="V218" s="43"/>
      <c r="W218" s="43"/>
      <c r="X218" s="43">
        <f t="shared" si="76"/>
        <v>2168.0144942823927</v>
      </c>
      <c r="Y218" s="43">
        <v>1032.567</v>
      </c>
      <c r="Z218" s="43">
        <f t="shared" si="82"/>
        <v>1032.567</v>
      </c>
      <c r="AA218" s="43"/>
      <c r="AB218" s="43"/>
      <c r="AC218" s="43"/>
      <c r="AD218" s="43">
        <f t="shared" si="67"/>
        <v>1032.567</v>
      </c>
      <c r="AE218" s="43">
        <v>1326.2</v>
      </c>
      <c r="AF218" s="43"/>
      <c r="AG218" s="43"/>
      <c r="AH218" s="42">
        <f t="shared" si="78"/>
        <v>1326.2</v>
      </c>
      <c r="AI218" s="41">
        <v>1326.2</v>
      </c>
      <c r="AJ218" s="40">
        <v>2405.9</v>
      </c>
      <c r="AK218" s="49">
        <f>2500-1300</f>
        <v>1200</v>
      </c>
      <c r="AL218" s="39">
        <f t="shared" si="79"/>
        <v>1200</v>
      </c>
      <c r="AM218" s="49"/>
      <c r="AN218" s="49">
        <f t="shared" si="80"/>
        <v>1200</v>
      </c>
    </row>
    <row r="219" spans="1:40" s="18" customFormat="1" ht="30.6" x14ac:dyDescent="0.25">
      <c r="A219" s="46">
        <v>51110</v>
      </c>
      <c r="B219" s="45" t="s">
        <v>86</v>
      </c>
      <c r="C219" s="43">
        <v>34999.300000000003</v>
      </c>
      <c r="D219" s="43">
        <f t="shared" si="68"/>
        <v>2916.6083333333336</v>
      </c>
      <c r="E219" s="43">
        <v>1906.7</v>
      </c>
      <c r="F219" s="43">
        <v>2413.6999999999998</v>
      </c>
      <c r="G219" s="43">
        <f t="shared" si="69"/>
        <v>8154.8369000000002</v>
      </c>
      <c r="H219" s="44">
        <f t="shared" si="70"/>
        <v>2.3808689585353742E-2</v>
      </c>
      <c r="I219" s="43">
        <f>7990664.7*H219/100+300</f>
        <v>2202.4725542294382</v>
      </c>
      <c r="J219" s="43"/>
      <c r="K219" s="43"/>
      <c r="L219" s="43">
        <f t="shared" si="71"/>
        <v>2202.4725542294382</v>
      </c>
      <c r="M219" s="43">
        <v>2202.5</v>
      </c>
      <c r="N219" s="43">
        <f t="shared" si="72"/>
        <v>2.7445770561826066E-2</v>
      </c>
      <c r="O219" s="43">
        <f t="shared" si="81"/>
        <v>100.00124613450956</v>
      </c>
      <c r="P219" s="43">
        <v>9741.4000000000015</v>
      </c>
      <c r="Q219" s="44">
        <f t="shared" si="74"/>
        <v>3.9745193869735317E-2</v>
      </c>
      <c r="R219" s="43">
        <f>6201897*Q219/100</f>
        <v>2464.9559862512983</v>
      </c>
      <c r="S219" s="43"/>
      <c r="T219" s="43"/>
      <c r="U219" s="43"/>
      <c r="V219" s="43"/>
      <c r="W219" s="43"/>
      <c r="X219" s="43">
        <f t="shared" si="76"/>
        <v>2464.9559862512983</v>
      </c>
      <c r="Y219" s="43">
        <v>1618.8330000000001</v>
      </c>
      <c r="Z219" s="43">
        <f t="shared" si="82"/>
        <v>1618.8330000000001</v>
      </c>
      <c r="AA219" s="43"/>
      <c r="AB219" s="43"/>
      <c r="AC219" s="43"/>
      <c r="AD219" s="43">
        <f t="shared" si="67"/>
        <v>1618.8330000000001</v>
      </c>
      <c r="AE219" s="43">
        <v>2270.1</v>
      </c>
      <c r="AF219" s="43"/>
      <c r="AG219" s="43"/>
      <c r="AH219" s="42">
        <f t="shared" si="78"/>
        <v>2270.1</v>
      </c>
      <c r="AI219" s="41">
        <v>2032</v>
      </c>
      <c r="AJ219" s="40">
        <v>2785.1</v>
      </c>
      <c r="AK219" s="49">
        <f>2841.4-1200</f>
        <v>1641.4</v>
      </c>
      <c r="AL219" s="39">
        <f t="shared" si="79"/>
        <v>1641.4</v>
      </c>
      <c r="AM219" s="49"/>
      <c r="AN219" s="49">
        <f t="shared" si="80"/>
        <v>1641.4</v>
      </c>
    </row>
    <row r="220" spans="1:40" s="18" customFormat="1" ht="30.6" x14ac:dyDescent="0.25">
      <c r="A220" s="48">
        <v>51910</v>
      </c>
      <c r="B220" s="45" t="s">
        <v>85</v>
      </c>
      <c r="C220" s="43">
        <v>32604.2</v>
      </c>
      <c r="D220" s="43">
        <f t="shared" si="68"/>
        <v>2717.0166666666669</v>
      </c>
      <c r="E220" s="43"/>
      <c r="F220" s="43"/>
      <c r="G220" s="43">
        <f t="shared" si="69"/>
        <v>7596.7785999999996</v>
      </c>
      <c r="H220" s="44">
        <f t="shared" si="70"/>
        <v>0</v>
      </c>
      <c r="I220" s="43">
        <f>7990664.7*H220/100</f>
        <v>0</v>
      </c>
      <c r="J220" s="43"/>
      <c r="K220" s="43"/>
      <c r="L220" s="43">
        <f t="shared" si="71"/>
        <v>0</v>
      </c>
      <c r="M220" s="43">
        <v>0</v>
      </c>
      <c r="N220" s="43">
        <f t="shared" si="72"/>
        <v>0</v>
      </c>
      <c r="O220" s="43"/>
      <c r="P220" s="43">
        <v>0</v>
      </c>
      <c r="Q220" s="44">
        <f t="shared" si="74"/>
        <v>0</v>
      </c>
      <c r="R220" s="43">
        <f>6201897*Q220/100</f>
        <v>0</v>
      </c>
      <c r="S220" s="43"/>
      <c r="T220" s="43"/>
      <c r="U220" s="43"/>
      <c r="V220" s="43"/>
      <c r="W220" s="43"/>
      <c r="X220" s="43">
        <f t="shared" si="76"/>
        <v>0</v>
      </c>
      <c r="Y220" s="43"/>
      <c r="Z220" s="43">
        <f t="shared" si="82"/>
        <v>0</v>
      </c>
      <c r="AA220" s="43"/>
      <c r="AB220" s="43"/>
      <c r="AC220" s="43"/>
      <c r="AD220" s="43">
        <f t="shared" si="67"/>
        <v>0</v>
      </c>
      <c r="AE220" s="43"/>
      <c r="AF220" s="43"/>
      <c r="AG220" s="43"/>
      <c r="AH220" s="42">
        <f t="shared" si="78"/>
        <v>0</v>
      </c>
      <c r="AI220" s="41"/>
      <c r="AJ220" s="40">
        <v>0</v>
      </c>
      <c r="AK220" s="49"/>
      <c r="AL220" s="39">
        <f t="shared" si="79"/>
        <v>0</v>
      </c>
      <c r="AM220" s="49"/>
      <c r="AN220" s="49">
        <f t="shared" si="80"/>
        <v>0</v>
      </c>
    </row>
    <row r="221" spans="1:40" s="18" customFormat="1" ht="26.25" customHeight="1" x14ac:dyDescent="0.25">
      <c r="A221" s="46">
        <v>52110</v>
      </c>
      <c r="B221" s="45" t="s">
        <v>84</v>
      </c>
      <c r="C221" s="43">
        <v>16975.2</v>
      </c>
      <c r="D221" s="43">
        <f t="shared" si="68"/>
        <v>1414.6000000000001</v>
      </c>
      <c r="E221" s="43">
        <v>1247</v>
      </c>
      <c r="F221" s="43">
        <v>1247</v>
      </c>
      <c r="G221" s="43">
        <f t="shared" si="69"/>
        <v>3955.2216000000003</v>
      </c>
      <c r="H221" s="44">
        <f t="shared" si="70"/>
        <v>1.3743836641485102E-2</v>
      </c>
      <c r="I221" s="43">
        <v>1377.5</v>
      </c>
      <c r="J221" s="43"/>
      <c r="K221" s="43"/>
      <c r="L221" s="43">
        <f t="shared" si="71"/>
        <v>1377.5</v>
      </c>
      <c r="M221" s="43">
        <v>1377.5</v>
      </c>
      <c r="N221" s="43">
        <f t="shared" si="72"/>
        <v>0</v>
      </c>
      <c r="O221" s="43">
        <f t="shared" ref="O221:O244" si="83">M221/L221*100</f>
        <v>100</v>
      </c>
      <c r="P221" s="43">
        <v>4452.3999999999996</v>
      </c>
      <c r="Q221" s="44">
        <f t="shared" si="74"/>
        <v>1.816592083125726E-2</v>
      </c>
      <c r="R221" s="43">
        <f>6201897*Q221/100+100</f>
        <v>1226.631699056119</v>
      </c>
      <c r="S221" s="43"/>
      <c r="T221" s="43"/>
      <c r="U221" s="43"/>
      <c r="V221" s="43"/>
      <c r="W221" s="43"/>
      <c r="X221" s="43">
        <f t="shared" si="76"/>
        <v>1226.631699056119</v>
      </c>
      <c r="Y221" s="43">
        <v>1204.2339999999999</v>
      </c>
      <c r="Z221" s="43">
        <f t="shared" si="82"/>
        <v>1204.2339999999999</v>
      </c>
      <c r="AA221" s="43"/>
      <c r="AB221" s="43"/>
      <c r="AC221" s="43"/>
      <c r="AD221" s="43">
        <f t="shared" si="67"/>
        <v>1204.2339999999999</v>
      </c>
      <c r="AE221" s="43">
        <f>1867.2-500</f>
        <v>1367.2</v>
      </c>
      <c r="AF221" s="43"/>
      <c r="AG221" s="43"/>
      <c r="AH221" s="42">
        <f t="shared" si="78"/>
        <v>1367.2</v>
      </c>
      <c r="AI221" s="41">
        <v>1430.8</v>
      </c>
      <c r="AJ221" s="40">
        <v>1463.9</v>
      </c>
      <c r="AK221" s="49">
        <f>2385.8-1000</f>
        <v>1385.8000000000002</v>
      </c>
      <c r="AL221" s="39">
        <f t="shared" si="79"/>
        <v>1385.8000000000002</v>
      </c>
      <c r="AM221" s="49"/>
      <c r="AN221" s="49">
        <f t="shared" si="80"/>
        <v>1385.8000000000002</v>
      </c>
    </row>
    <row r="222" spans="1:40" s="18" customFormat="1" ht="22.5" customHeight="1" x14ac:dyDescent="0.25">
      <c r="A222" s="46">
        <v>52120</v>
      </c>
      <c r="B222" s="45" t="s">
        <v>83</v>
      </c>
      <c r="C222" s="43">
        <v>351596.79999999999</v>
      </c>
      <c r="D222" s="43">
        <f t="shared" si="68"/>
        <v>29299.733333333334</v>
      </c>
      <c r="E222" s="43">
        <v>26928.1</v>
      </c>
      <c r="F222" s="43">
        <v>28549.5</v>
      </c>
      <c r="G222" s="43">
        <f t="shared" si="69"/>
        <v>81922.054400000008</v>
      </c>
      <c r="H222" s="44">
        <f t="shared" si="70"/>
        <v>0.30572376570234716</v>
      </c>
      <c r="I222" s="43">
        <v>27490</v>
      </c>
      <c r="J222" s="43"/>
      <c r="K222" s="43"/>
      <c r="L222" s="43">
        <f t="shared" si="71"/>
        <v>27490</v>
      </c>
      <c r="M222" s="43">
        <v>26295</v>
      </c>
      <c r="N222" s="43">
        <f t="shared" si="72"/>
        <v>-1195</v>
      </c>
      <c r="O222" s="43">
        <f t="shared" si="83"/>
        <v>95.652964714441609</v>
      </c>
      <c r="P222" s="43">
        <v>90919.400000000009</v>
      </c>
      <c r="Q222" s="44">
        <f t="shared" si="74"/>
        <v>0.37095378277455116</v>
      </c>
      <c r="R222" s="43">
        <f>6201897*Q222/100+3000</f>
        <v>26006.171525281407</v>
      </c>
      <c r="S222" s="43"/>
      <c r="T222" s="43"/>
      <c r="U222" s="43">
        <v>7500</v>
      </c>
      <c r="V222" s="43"/>
      <c r="W222" s="43"/>
      <c r="X222" s="43">
        <f t="shared" si="76"/>
        <v>33506.171525281403</v>
      </c>
      <c r="Y222" s="43">
        <v>27219.633999999998</v>
      </c>
      <c r="Z222" s="43">
        <f t="shared" si="82"/>
        <v>27219.633999999998</v>
      </c>
      <c r="AA222" s="43"/>
      <c r="AB222" s="43">
        <v>2992.7</v>
      </c>
      <c r="AC222" s="43"/>
      <c r="AD222" s="43">
        <f t="shared" si="67"/>
        <v>30212.333999999999</v>
      </c>
      <c r="AE222" s="43">
        <v>27577.200000000001</v>
      </c>
      <c r="AF222" s="43"/>
      <c r="AG222" s="43"/>
      <c r="AH222" s="42">
        <f t="shared" si="78"/>
        <v>27577.200000000001</v>
      </c>
      <c r="AI222" s="41">
        <v>27132.6</v>
      </c>
      <c r="AJ222" s="40">
        <v>29045.1</v>
      </c>
      <c r="AK222" s="49">
        <f>35073.3-5000</f>
        <v>30073.300000000003</v>
      </c>
      <c r="AL222" s="39">
        <f t="shared" si="79"/>
        <v>30073.300000000003</v>
      </c>
      <c r="AM222" s="49"/>
      <c r="AN222" s="49">
        <f t="shared" si="80"/>
        <v>30073.300000000003</v>
      </c>
    </row>
    <row r="223" spans="1:40" s="18" customFormat="1" ht="20.399999999999999" x14ac:dyDescent="0.25">
      <c r="A223" s="46">
        <v>53110</v>
      </c>
      <c r="B223" s="45" t="s">
        <v>82</v>
      </c>
      <c r="C223" s="43">
        <v>30377.5</v>
      </c>
      <c r="D223" s="43">
        <f t="shared" si="68"/>
        <v>2531.4583333333335</v>
      </c>
      <c r="E223" s="43">
        <v>2490.9</v>
      </c>
      <c r="F223" s="43">
        <v>2378.5</v>
      </c>
      <c r="G223" s="43">
        <f t="shared" si="69"/>
        <v>7077.9575000000004</v>
      </c>
      <c r="H223" s="44">
        <f t="shared" si="70"/>
        <v>2.6834097089834627E-2</v>
      </c>
      <c r="I223" s="43">
        <v>2170.5</v>
      </c>
      <c r="J223" s="43"/>
      <c r="K223" s="43"/>
      <c r="L223" s="43">
        <f t="shared" si="71"/>
        <v>2170.5</v>
      </c>
      <c r="M223" s="43">
        <v>2170.5</v>
      </c>
      <c r="N223" s="43">
        <f t="shared" si="72"/>
        <v>0</v>
      </c>
      <c r="O223" s="43">
        <f t="shared" si="83"/>
        <v>100</v>
      </c>
      <c r="P223" s="43">
        <v>8028.9</v>
      </c>
      <c r="Q223" s="44">
        <f t="shared" si="74"/>
        <v>3.2758144318138845E-2</v>
      </c>
      <c r="R223" s="43">
        <f>6201897*Q223/100+100</f>
        <v>2131.6263697223235</v>
      </c>
      <c r="S223" s="43">
        <v>58217</v>
      </c>
      <c r="T223" s="43"/>
      <c r="U223" s="43"/>
      <c r="V223" s="43"/>
      <c r="W223" s="43"/>
      <c r="X223" s="43">
        <f t="shared" si="76"/>
        <v>60348.626369722326</v>
      </c>
      <c r="Y223" s="43">
        <v>2017.8</v>
      </c>
      <c r="Z223" s="43">
        <f t="shared" si="82"/>
        <v>2017.8</v>
      </c>
      <c r="AA223" s="43"/>
      <c r="AB223" s="43"/>
      <c r="AC223" s="43"/>
      <c r="AD223" s="43">
        <f t="shared" si="67"/>
        <v>2017.8</v>
      </c>
      <c r="AE223" s="43">
        <v>2862.4</v>
      </c>
      <c r="AF223" s="43"/>
      <c r="AG223" s="43"/>
      <c r="AH223" s="42">
        <f t="shared" si="78"/>
        <v>2862.4</v>
      </c>
      <c r="AI223" s="41">
        <v>2862.4</v>
      </c>
      <c r="AJ223" s="49">
        <v>28602.2</v>
      </c>
      <c r="AK223" s="49">
        <f>18637.1-16000</f>
        <v>2637.0999999999985</v>
      </c>
      <c r="AL223" s="39">
        <f t="shared" si="79"/>
        <v>2637.0999999999985</v>
      </c>
      <c r="AM223" s="49">
        <v>16082</v>
      </c>
      <c r="AN223" s="49">
        <f t="shared" si="80"/>
        <v>18719.099999999999</v>
      </c>
    </row>
    <row r="224" spans="1:40" s="18" customFormat="1" ht="20.399999999999999" x14ac:dyDescent="0.25">
      <c r="A224" s="46">
        <v>53120</v>
      </c>
      <c r="B224" s="45" t="s">
        <v>81</v>
      </c>
      <c r="C224" s="43">
        <v>149008</v>
      </c>
      <c r="D224" s="43">
        <f t="shared" si="68"/>
        <v>12417.333333333334</v>
      </c>
      <c r="E224" s="43">
        <v>12475.3</v>
      </c>
      <c r="F224" s="43">
        <v>12273.7</v>
      </c>
      <c r="G224" s="43">
        <f t="shared" si="69"/>
        <v>34718.864000000001</v>
      </c>
      <c r="H224" s="44">
        <f t="shared" si="70"/>
        <v>0.13638581116283674</v>
      </c>
      <c r="I224" s="43">
        <v>10501.2</v>
      </c>
      <c r="J224" s="43"/>
      <c r="K224" s="43"/>
      <c r="L224" s="43">
        <f t="shared" si="71"/>
        <v>10501.2</v>
      </c>
      <c r="M224" s="43">
        <v>10247.1</v>
      </c>
      <c r="N224" s="43">
        <f t="shared" si="72"/>
        <v>-254.10000000000036</v>
      </c>
      <c r="O224" s="43">
        <f t="shared" si="83"/>
        <v>97.580276539824013</v>
      </c>
      <c r="P224" s="43">
        <v>38677.100000000006</v>
      </c>
      <c r="Q224" s="44">
        <f t="shared" si="74"/>
        <v>0.15780368713112486</v>
      </c>
      <c r="R224" s="43">
        <f>6201897*Q224/100+400</f>
        <v>10186.822138074618</v>
      </c>
      <c r="S224" s="43"/>
      <c r="T224" s="43"/>
      <c r="U224" s="43"/>
      <c r="V224" s="43"/>
      <c r="W224" s="43"/>
      <c r="X224" s="43">
        <f t="shared" si="76"/>
        <v>10186.822138074618</v>
      </c>
      <c r="Y224" s="43">
        <v>11321.699999999999</v>
      </c>
      <c r="Z224" s="43">
        <f t="shared" si="82"/>
        <v>11321.699999999999</v>
      </c>
      <c r="AA224" s="43">
        <v>100</v>
      </c>
      <c r="AB224" s="43"/>
      <c r="AC224" s="43"/>
      <c r="AD224" s="43">
        <f t="shared" si="67"/>
        <v>11421.699999999999</v>
      </c>
      <c r="AE224" s="43">
        <v>13602.8</v>
      </c>
      <c r="AF224" s="43"/>
      <c r="AG224" s="43"/>
      <c r="AH224" s="42">
        <f t="shared" si="78"/>
        <v>13602.8</v>
      </c>
      <c r="AI224" s="41">
        <v>13188.3</v>
      </c>
      <c r="AJ224" s="40">
        <v>12142.2</v>
      </c>
      <c r="AK224" s="49">
        <f>15572-4000</f>
        <v>11572</v>
      </c>
      <c r="AL224" s="39">
        <f t="shared" si="79"/>
        <v>11572</v>
      </c>
      <c r="AM224" s="49"/>
      <c r="AN224" s="49">
        <f t="shared" si="80"/>
        <v>11572</v>
      </c>
    </row>
    <row r="225" spans="1:40" s="18" customFormat="1" ht="14.25" customHeight="1" x14ac:dyDescent="0.25">
      <c r="A225" s="46">
        <v>53310</v>
      </c>
      <c r="B225" s="45" t="s">
        <v>80</v>
      </c>
      <c r="C225" s="43">
        <v>55025.4</v>
      </c>
      <c r="D225" s="43">
        <f t="shared" si="68"/>
        <v>4585.45</v>
      </c>
      <c r="E225" s="43">
        <v>4119.3999999999996</v>
      </c>
      <c r="F225" s="43">
        <v>3789.9</v>
      </c>
      <c r="G225" s="43">
        <f t="shared" si="69"/>
        <v>12820.9182</v>
      </c>
      <c r="H225" s="44">
        <f t="shared" si="70"/>
        <v>4.358625787830718E-2</v>
      </c>
      <c r="I225" s="43">
        <v>4842.5</v>
      </c>
      <c r="J225" s="43"/>
      <c r="K225" s="43"/>
      <c r="L225" s="43">
        <f t="shared" si="71"/>
        <v>4842.5</v>
      </c>
      <c r="M225" s="43">
        <v>4842.5</v>
      </c>
      <c r="N225" s="43">
        <f t="shared" si="72"/>
        <v>0</v>
      </c>
      <c r="O225" s="43">
        <f t="shared" si="83"/>
        <v>100</v>
      </c>
      <c r="P225" s="43">
        <v>15062.8</v>
      </c>
      <c r="Q225" s="44">
        <f t="shared" si="74"/>
        <v>6.1456659845715092E-2</v>
      </c>
      <c r="R225" s="43">
        <f>6201897*Q225/100</f>
        <v>3811.4787432716089</v>
      </c>
      <c r="S225" s="43"/>
      <c r="T225" s="43"/>
      <c r="U225" s="43"/>
      <c r="V225" s="43"/>
      <c r="W225" s="43"/>
      <c r="X225" s="43">
        <f t="shared" si="76"/>
        <v>3811.4787432716089</v>
      </c>
      <c r="Y225" s="43">
        <v>4047.4319999999998</v>
      </c>
      <c r="Z225" s="43">
        <f t="shared" si="82"/>
        <v>4047.4319999999998</v>
      </c>
      <c r="AA225" s="43"/>
      <c r="AB225" s="43"/>
      <c r="AC225" s="43"/>
      <c r="AD225" s="43">
        <f t="shared" si="67"/>
        <v>4047.4319999999998</v>
      </c>
      <c r="AE225" s="43">
        <v>7203.9</v>
      </c>
      <c r="AF225" s="43"/>
      <c r="AG225" s="43"/>
      <c r="AH225" s="42">
        <f t="shared" si="78"/>
        <v>7203.9</v>
      </c>
      <c r="AI225" s="41">
        <v>4496.3</v>
      </c>
      <c r="AJ225" s="40">
        <v>5061.8999999999996</v>
      </c>
      <c r="AK225" s="49">
        <f>4205.7-400</f>
        <v>3805.7</v>
      </c>
      <c r="AL225" s="39">
        <f t="shared" si="79"/>
        <v>3805.7</v>
      </c>
      <c r="AM225" s="49"/>
      <c r="AN225" s="49">
        <f t="shared" si="80"/>
        <v>3805.7</v>
      </c>
    </row>
    <row r="226" spans="1:40" s="18" customFormat="1" ht="13.5" customHeight="1" x14ac:dyDescent="0.25">
      <c r="A226" s="46">
        <v>53320</v>
      </c>
      <c r="B226" s="45" t="s">
        <v>79</v>
      </c>
      <c r="C226" s="43">
        <v>150069.4</v>
      </c>
      <c r="D226" s="43">
        <f t="shared" si="68"/>
        <v>12505.783333333333</v>
      </c>
      <c r="E226" s="43">
        <v>10424.9</v>
      </c>
      <c r="F226" s="43">
        <v>12393.3</v>
      </c>
      <c r="G226" s="43">
        <f t="shared" si="69"/>
        <v>34966.1702</v>
      </c>
      <c r="H226" s="44">
        <f t="shared" si="70"/>
        <v>0.12574563482467335</v>
      </c>
      <c r="I226" s="43">
        <v>12029.6</v>
      </c>
      <c r="J226" s="43"/>
      <c r="K226" s="43"/>
      <c r="L226" s="43">
        <f t="shared" si="71"/>
        <v>12029.6</v>
      </c>
      <c r="M226" s="43">
        <v>12029.6</v>
      </c>
      <c r="N226" s="43">
        <f t="shared" si="72"/>
        <v>0</v>
      </c>
      <c r="O226" s="43">
        <f t="shared" si="83"/>
        <v>100</v>
      </c>
      <c r="P226" s="43">
        <v>38729.599999999991</v>
      </c>
      <c r="Q226" s="44">
        <f t="shared" si="74"/>
        <v>0.15801788865022484</v>
      </c>
      <c r="R226" s="43">
        <f>6201897*Q226/100+2200</f>
        <v>12000.106695661634</v>
      </c>
      <c r="S226" s="43"/>
      <c r="T226" s="43"/>
      <c r="U226" s="43"/>
      <c r="V226" s="43"/>
      <c r="W226" s="43"/>
      <c r="X226" s="43">
        <f t="shared" si="76"/>
        <v>12000.106695661634</v>
      </c>
      <c r="Y226" s="43">
        <v>10860.432999999999</v>
      </c>
      <c r="Z226" s="43">
        <f t="shared" si="82"/>
        <v>10860.432999999999</v>
      </c>
      <c r="AA226" s="43"/>
      <c r="AB226" s="43"/>
      <c r="AC226" s="43"/>
      <c r="AD226" s="43">
        <f t="shared" ref="AD226:AD244" si="84">SUM(Z226:AC226)</f>
        <v>10860.432999999999</v>
      </c>
      <c r="AE226" s="43">
        <v>13360.3</v>
      </c>
      <c r="AF226" s="43"/>
      <c r="AG226" s="43"/>
      <c r="AH226" s="42">
        <f t="shared" si="78"/>
        <v>13360.3</v>
      </c>
      <c r="AI226" s="41">
        <v>12208.3</v>
      </c>
      <c r="AJ226" s="40">
        <v>11583.7</v>
      </c>
      <c r="AK226" s="49">
        <f>14927.2-3000</f>
        <v>11927.2</v>
      </c>
      <c r="AL226" s="39">
        <f t="shared" si="79"/>
        <v>11927.2</v>
      </c>
      <c r="AM226" s="49"/>
      <c r="AN226" s="49">
        <f t="shared" si="80"/>
        <v>11927.2</v>
      </c>
    </row>
    <row r="227" spans="1:40" s="18" customFormat="1" ht="24" customHeight="1" x14ac:dyDescent="0.25">
      <c r="A227" s="46">
        <v>54110</v>
      </c>
      <c r="B227" s="45" t="s">
        <v>78</v>
      </c>
      <c r="C227" s="43">
        <v>88411.6</v>
      </c>
      <c r="D227" s="43">
        <f t="shared" si="68"/>
        <v>7367.6333333333341</v>
      </c>
      <c r="E227" s="43">
        <v>3174</v>
      </c>
      <c r="F227" s="43">
        <v>5825.3</v>
      </c>
      <c r="G227" s="43">
        <f t="shared" si="69"/>
        <v>20599.902800000003</v>
      </c>
      <c r="H227" s="44">
        <f t="shared" si="70"/>
        <v>4.9592986803414944E-2</v>
      </c>
      <c r="I227" s="43">
        <v>6387.7</v>
      </c>
      <c r="J227" s="43"/>
      <c r="K227" s="43"/>
      <c r="L227" s="43">
        <f t="shared" si="71"/>
        <v>6387.7</v>
      </c>
      <c r="M227" s="43">
        <v>4733.2</v>
      </c>
      <c r="N227" s="43">
        <f t="shared" si="72"/>
        <v>-1654.5</v>
      </c>
      <c r="O227" s="43">
        <f t="shared" si="83"/>
        <v>74.098658359033763</v>
      </c>
      <c r="P227" s="43">
        <v>17931</v>
      </c>
      <c r="Q227" s="44">
        <f t="shared" si="74"/>
        <v>7.3158998837767039E-2</v>
      </c>
      <c r="R227" s="43">
        <f>6201897*Q227/100</f>
        <v>4537.2457541495087</v>
      </c>
      <c r="S227" s="43">
        <f>1374.4-1374.4</f>
        <v>0</v>
      </c>
      <c r="T227" s="43">
        <v>725.1</v>
      </c>
      <c r="U227" s="43"/>
      <c r="V227" s="43"/>
      <c r="W227" s="43"/>
      <c r="X227" s="43">
        <f t="shared" si="76"/>
        <v>5262.345754149509</v>
      </c>
      <c r="Y227" s="43">
        <v>3540.9660000000003</v>
      </c>
      <c r="Z227" s="43">
        <f t="shared" si="82"/>
        <v>3540.9660000000003</v>
      </c>
      <c r="AA227" s="43"/>
      <c r="AB227" s="43"/>
      <c r="AC227" s="43"/>
      <c r="AD227" s="43">
        <f t="shared" si="84"/>
        <v>3540.9660000000003</v>
      </c>
      <c r="AE227" s="43">
        <v>4360.7</v>
      </c>
      <c r="AF227" s="43">
        <v>2604.4</v>
      </c>
      <c r="AG227" s="43"/>
      <c r="AH227" s="42">
        <f t="shared" si="78"/>
        <v>6965.1</v>
      </c>
      <c r="AI227" s="41">
        <f>4887.3+2236.1</f>
        <v>7123.4</v>
      </c>
      <c r="AJ227" s="40">
        <v>5802.6</v>
      </c>
      <c r="AK227" s="49">
        <f>6392.5-500</f>
        <v>5892.5</v>
      </c>
      <c r="AL227" s="39">
        <f t="shared" si="79"/>
        <v>5892.5</v>
      </c>
      <c r="AM227" s="49"/>
      <c r="AN227" s="49">
        <f t="shared" si="80"/>
        <v>5892.5</v>
      </c>
    </row>
    <row r="228" spans="1:40" s="18" customFormat="1" ht="24.75" customHeight="1" x14ac:dyDescent="0.25">
      <c r="A228" s="46">
        <v>54120</v>
      </c>
      <c r="B228" s="45" t="s">
        <v>77</v>
      </c>
      <c r="C228" s="43">
        <v>130236.2</v>
      </c>
      <c r="D228" s="43">
        <f t="shared" si="68"/>
        <v>10853.016666666666</v>
      </c>
      <c r="E228" s="43">
        <v>9020</v>
      </c>
      <c r="F228" s="43">
        <v>11296.6</v>
      </c>
      <c r="G228" s="43">
        <f t="shared" si="69"/>
        <v>30345.034599999999</v>
      </c>
      <c r="H228" s="44">
        <f t="shared" si="70"/>
        <v>0.11195991640352695</v>
      </c>
      <c r="I228" s="43">
        <v>9208.7000000000007</v>
      </c>
      <c r="J228" s="43"/>
      <c r="K228" s="43"/>
      <c r="L228" s="43">
        <f t="shared" si="71"/>
        <v>9208.7000000000007</v>
      </c>
      <c r="M228" s="43">
        <v>9208.7000000000007</v>
      </c>
      <c r="N228" s="43">
        <f t="shared" si="72"/>
        <v>0</v>
      </c>
      <c r="O228" s="43">
        <f t="shared" si="83"/>
        <v>100</v>
      </c>
      <c r="P228" s="43">
        <v>41326.799999999996</v>
      </c>
      <c r="Q228" s="44">
        <f t="shared" si="74"/>
        <v>0.16861453980082708</v>
      </c>
      <c r="R228" s="43">
        <f>6201897*Q228/100</f>
        <v>10457.300085471301</v>
      </c>
      <c r="S228" s="43">
        <f>3285.1-3285.1</f>
        <v>0</v>
      </c>
      <c r="T228" s="43">
        <v>2745.9</v>
      </c>
      <c r="U228" s="43"/>
      <c r="V228" s="43"/>
      <c r="W228" s="43"/>
      <c r="X228" s="43">
        <f t="shared" si="76"/>
        <v>13203.200085471301</v>
      </c>
      <c r="Y228" s="43">
        <v>9634.5319999999992</v>
      </c>
      <c r="Z228" s="43">
        <f t="shared" si="82"/>
        <v>9634.5319999999992</v>
      </c>
      <c r="AA228" s="43"/>
      <c r="AB228" s="43"/>
      <c r="AC228" s="43"/>
      <c r="AD228" s="43">
        <f t="shared" si="84"/>
        <v>9634.5319999999992</v>
      </c>
      <c r="AE228" s="43">
        <v>13467.1</v>
      </c>
      <c r="AF228" s="43"/>
      <c r="AG228" s="43"/>
      <c r="AH228" s="42">
        <f t="shared" si="78"/>
        <v>13467.1</v>
      </c>
      <c r="AI228" s="41">
        <f>11357.2+4730.9</f>
        <v>16088.1</v>
      </c>
      <c r="AJ228" s="40">
        <v>12759</v>
      </c>
      <c r="AK228" s="49">
        <f>15647.4-3000</f>
        <v>12647.4</v>
      </c>
      <c r="AL228" s="39">
        <f t="shared" si="79"/>
        <v>12647.4</v>
      </c>
      <c r="AM228" s="49"/>
      <c r="AN228" s="49">
        <f t="shared" si="80"/>
        <v>12647.4</v>
      </c>
    </row>
    <row r="229" spans="1:40" s="18" customFormat="1" ht="20.399999999999999" x14ac:dyDescent="0.25">
      <c r="A229" s="46">
        <v>55110</v>
      </c>
      <c r="B229" s="50" t="s">
        <v>76</v>
      </c>
      <c r="C229" s="43">
        <v>28093</v>
      </c>
      <c r="D229" s="43">
        <f t="shared" si="68"/>
        <v>2341.0833333333335</v>
      </c>
      <c r="E229" s="43">
        <v>1858</v>
      </c>
      <c r="F229" s="43">
        <v>2247.5</v>
      </c>
      <c r="G229" s="43">
        <f t="shared" si="69"/>
        <v>6545.6689999999999</v>
      </c>
      <c r="H229" s="44">
        <f t="shared" si="70"/>
        <v>2.2624427157825616E-2</v>
      </c>
      <c r="I229" s="43">
        <f>7990664.7*H229/100+200</f>
        <v>2007.8421144775848</v>
      </c>
      <c r="J229" s="43"/>
      <c r="K229" s="43"/>
      <c r="L229" s="43">
        <f t="shared" si="71"/>
        <v>2007.8421144775848</v>
      </c>
      <c r="M229" s="43">
        <v>2007.8</v>
      </c>
      <c r="N229" s="43">
        <f t="shared" si="72"/>
        <v>-4.2114477584846099E-2</v>
      </c>
      <c r="O229" s="43">
        <f t="shared" si="83"/>
        <v>99.997902500536213</v>
      </c>
      <c r="P229" s="43">
        <v>7207.5</v>
      </c>
      <c r="Q229" s="44">
        <f t="shared" si="74"/>
        <v>2.9406808550733698E-2</v>
      </c>
      <c r="R229" s="43">
        <f>6201897*Q229/100</f>
        <v>1823.7799773036968</v>
      </c>
      <c r="S229" s="43"/>
      <c r="T229" s="43"/>
      <c r="U229" s="43"/>
      <c r="V229" s="43"/>
      <c r="W229" s="43"/>
      <c r="X229" s="43">
        <f t="shared" si="76"/>
        <v>1823.7799773036968</v>
      </c>
      <c r="Y229" s="43">
        <v>1773.799</v>
      </c>
      <c r="Z229" s="43">
        <f t="shared" si="82"/>
        <v>1773.799</v>
      </c>
      <c r="AA229" s="43"/>
      <c r="AB229" s="43"/>
      <c r="AC229" s="43">
        <v>3092.4</v>
      </c>
      <c r="AD229" s="43">
        <f t="shared" si="84"/>
        <v>4866.1990000000005</v>
      </c>
      <c r="AE229" s="43">
        <v>2561.6</v>
      </c>
      <c r="AF229" s="43">
        <v>1490.1</v>
      </c>
      <c r="AG229" s="43"/>
      <c r="AH229" s="42">
        <f t="shared" si="78"/>
        <v>4051.7</v>
      </c>
      <c r="AI229" s="41">
        <v>2577</v>
      </c>
      <c r="AJ229" s="40">
        <v>6623.4</v>
      </c>
      <c r="AK229" s="49">
        <f>14055.6-7000-1000</f>
        <v>6055.6</v>
      </c>
      <c r="AL229" s="39">
        <f t="shared" si="79"/>
        <v>6055.6</v>
      </c>
      <c r="AM229" s="49"/>
      <c r="AN229" s="49">
        <f t="shared" si="80"/>
        <v>6055.6</v>
      </c>
    </row>
    <row r="230" spans="1:40" s="18" customFormat="1" ht="23.25" customHeight="1" x14ac:dyDescent="0.25">
      <c r="A230" s="46">
        <v>55120</v>
      </c>
      <c r="B230" s="50" t="s">
        <v>75</v>
      </c>
      <c r="C230" s="43">
        <v>35503.300000000003</v>
      </c>
      <c r="D230" s="43">
        <f t="shared" si="68"/>
        <v>2958.6083333333336</v>
      </c>
      <c r="E230" s="43"/>
      <c r="F230" s="43"/>
      <c r="G230" s="43">
        <f t="shared" si="69"/>
        <v>8272.2689000000009</v>
      </c>
      <c r="H230" s="44">
        <f t="shared" si="70"/>
        <v>0</v>
      </c>
      <c r="I230" s="43">
        <v>2958.6</v>
      </c>
      <c r="J230" s="43"/>
      <c r="K230" s="43"/>
      <c r="L230" s="43">
        <f t="shared" si="71"/>
        <v>2958.6</v>
      </c>
      <c r="M230" s="43">
        <v>2958.6</v>
      </c>
      <c r="N230" s="43">
        <f t="shared" si="72"/>
        <v>0</v>
      </c>
      <c r="O230" s="43">
        <f t="shared" si="83"/>
        <v>100</v>
      </c>
      <c r="P230" s="43">
        <v>10686.5</v>
      </c>
      <c r="Q230" s="44">
        <f t="shared" si="74"/>
        <v>4.3601229216429505E-2</v>
      </c>
      <c r="R230" s="43">
        <f>6201897*Q230/100-800</f>
        <v>1904.1033267368648</v>
      </c>
      <c r="S230" s="43"/>
      <c r="T230" s="43"/>
      <c r="U230" s="43"/>
      <c r="V230" s="43"/>
      <c r="W230" s="43"/>
      <c r="X230" s="43">
        <f t="shared" si="76"/>
        <v>1904.1033267368648</v>
      </c>
      <c r="Y230" s="43"/>
      <c r="Z230" s="43">
        <f t="shared" si="82"/>
        <v>0</v>
      </c>
      <c r="AA230" s="43"/>
      <c r="AB230" s="43"/>
      <c r="AC230" s="43"/>
      <c r="AD230" s="43">
        <f t="shared" si="84"/>
        <v>0</v>
      </c>
      <c r="AE230" s="43"/>
      <c r="AF230" s="43"/>
      <c r="AG230" s="43"/>
      <c r="AH230" s="42">
        <f t="shared" si="78"/>
        <v>0</v>
      </c>
      <c r="AI230" s="41">
        <f>1846.4</f>
        <v>1846.4</v>
      </c>
      <c r="AJ230" s="40">
        <v>0</v>
      </c>
      <c r="AK230" s="49"/>
      <c r="AL230" s="39">
        <f t="shared" si="79"/>
        <v>0</v>
      </c>
      <c r="AM230" s="49"/>
      <c r="AN230" s="49">
        <f t="shared" si="80"/>
        <v>0</v>
      </c>
    </row>
    <row r="231" spans="1:40" s="18" customFormat="1" ht="20.399999999999999" x14ac:dyDescent="0.25">
      <c r="A231" s="46">
        <v>55420</v>
      </c>
      <c r="B231" s="45" t="s">
        <v>74</v>
      </c>
      <c r="C231" s="43">
        <v>75342.5</v>
      </c>
      <c r="D231" s="43">
        <f t="shared" ref="D231:D244" si="85">C231/12</f>
        <v>6278.541666666667</v>
      </c>
      <c r="E231" s="43">
        <v>5250.4</v>
      </c>
      <c r="F231" s="43">
        <v>4313.6000000000004</v>
      </c>
      <c r="G231" s="43">
        <f t="shared" ref="G231:G244" si="86">C231*23.3/100</f>
        <v>17554.802500000002</v>
      </c>
      <c r="H231" s="44">
        <f t="shared" ref="H231:H244" si="87">(E231+F231)/(8725103.2+9421212.6)*100</f>
        <v>5.2704913247459309E-2</v>
      </c>
      <c r="I231" s="43">
        <f>7990664.7*H231/100+500</f>
        <v>4711.4728980303553</v>
      </c>
      <c r="J231" s="43"/>
      <c r="K231" s="43"/>
      <c r="L231" s="43">
        <f t="shared" ref="L231:L244" si="88">SUM(I231:K231)</f>
        <v>4711.4728980303553</v>
      </c>
      <c r="M231" s="43">
        <v>4550.1000000000004</v>
      </c>
      <c r="N231" s="43">
        <f t="shared" ref="N231:N244" si="89">M231-L231</f>
        <v>-161.37289803035492</v>
      </c>
      <c r="O231" s="43">
        <f t="shared" si="83"/>
        <v>96.574894910298283</v>
      </c>
      <c r="P231" s="43">
        <v>19768.899999999998</v>
      </c>
      <c r="Q231" s="44">
        <f t="shared" ref="Q231:Q244" si="90">P231/24509630.1*100</f>
        <v>8.0657684017842429E-2</v>
      </c>
      <c r="R231" s="43">
        <f>6201897*Q231/100</f>
        <v>5002.3064853720489</v>
      </c>
      <c r="S231" s="43"/>
      <c r="T231" s="43"/>
      <c r="U231" s="43"/>
      <c r="V231" s="43"/>
      <c r="W231" s="43"/>
      <c r="X231" s="43">
        <f t="shared" si="76"/>
        <v>5002.3064853720489</v>
      </c>
      <c r="Y231" s="43">
        <v>4838.165</v>
      </c>
      <c r="Z231" s="43">
        <f t="shared" si="82"/>
        <v>4838.165</v>
      </c>
      <c r="AA231" s="43"/>
      <c r="AB231" s="43"/>
      <c r="AC231" s="43"/>
      <c r="AD231" s="43">
        <f t="shared" si="84"/>
        <v>4838.165</v>
      </c>
      <c r="AE231" s="43">
        <f>9950.8-4000</f>
        <v>5950.7999999999993</v>
      </c>
      <c r="AF231" s="43"/>
      <c r="AG231" s="43"/>
      <c r="AH231" s="42">
        <f t="shared" si="78"/>
        <v>5950.7999999999993</v>
      </c>
      <c r="AI231" s="41">
        <v>6301.8</v>
      </c>
      <c r="AJ231" s="40">
        <v>7307.4</v>
      </c>
      <c r="AK231" s="49">
        <f>7623.4-2000</f>
        <v>5623.4</v>
      </c>
      <c r="AL231" s="39">
        <f t="shared" si="79"/>
        <v>5623.4</v>
      </c>
      <c r="AM231" s="49"/>
      <c r="AN231" s="49">
        <f t="shared" si="80"/>
        <v>5623.4</v>
      </c>
    </row>
    <row r="232" spans="1:40" s="18" customFormat="1" ht="24.75" customHeight="1" x14ac:dyDescent="0.25">
      <c r="A232" s="46">
        <v>56110</v>
      </c>
      <c r="B232" s="45" t="s">
        <v>73</v>
      </c>
      <c r="C232" s="43">
        <v>19960.3</v>
      </c>
      <c r="D232" s="43">
        <f t="shared" si="85"/>
        <v>1663.3583333333333</v>
      </c>
      <c r="E232" s="43">
        <v>820</v>
      </c>
      <c r="F232" s="43">
        <v>1035.2</v>
      </c>
      <c r="G232" s="43">
        <f t="shared" si="86"/>
        <v>4650.7498999999998</v>
      </c>
      <c r="H232" s="44">
        <f t="shared" si="87"/>
        <v>1.0223562845743047E-2</v>
      </c>
      <c r="I232" s="43">
        <f>7990664.7*H232/100+100</f>
        <v>916.93062739710513</v>
      </c>
      <c r="J232" s="43"/>
      <c r="K232" s="43"/>
      <c r="L232" s="43">
        <f t="shared" si="88"/>
        <v>916.93062739710513</v>
      </c>
      <c r="M232" s="43">
        <v>886</v>
      </c>
      <c r="N232" s="43">
        <f t="shared" si="89"/>
        <v>-30.930627397105127</v>
      </c>
      <c r="O232" s="43">
        <f t="shared" si="83"/>
        <v>96.626721098311648</v>
      </c>
      <c r="P232" s="43">
        <v>5513.4000000000005</v>
      </c>
      <c r="Q232" s="44">
        <f t="shared" si="90"/>
        <v>2.2494831531545634E-2</v>
      </c>
      <c r="R232" s="43">
        <f>6201897*Q232/100-400</f>
        <v>995.10628190998273</v>
      </c>
      <c r="S232" s="43"/>
      <c r="T232" s="43"/>
      <c r="U232" s="43"/>
      <c r="V232" s="43"/>
      <c r="W232" s="43"/>
      <c r="X232" s="43">
        <f t="shared" si="76"/>
        <v>995.10628190998273</v>
      </c>
      <c r="Y232" s="43">
        <v>1023.6650000000001</v>
      </c>
      <c r="Z232" s="43">
        <f t="shared" si="82"/>
        <v>1023.6650000000001</v>
      </c>
      <c r="AA232" s="43"/>
      <c r="AB232" s="43"/>
      <c r="AC232" s="43">
        <v>300</v>
      </c>
      <c r="AD232" s="43">
        <f t="shared" si="84"/>
        <v>1323.665</v>
      </c>
      <c r="AE232" s="43">
        <v>1417.9</v>
      </c>
      <c r="AF232" s="43"/>
      <c r="AG232" s="43"/>
      <c r="AH232" s="42">
        <f t="shared" si="78"/>
        <v>1417.9</v>
      </c>
      <c r="AI232" s="41">
        <f>1871.4+1000</f>
        <v>2871.4</v>
      </c>
      <c r="AJ232" s="40">
        <v>1889.6</v>
      </c>
      <c r="AK232" s="49">
        <f>3553.2-1000-1000</f>
        <v>1553.1999999999998</v>
      </c>
      <c r="AL232" s="39">
        <f t="shared" si="79"/>
        <v>1553.1999999999998</v>
      </c>
      <c r="AM232" s="49"/>
      <c r="AN232" s="49">
        <f t="shared" si="80"/>
        <v>1553.1999999999998</v>
      </c>
    </row>
    <row r="233" spans="1:40" s="18" customFormat="1" ht="30.6" x14ac:dyDescent="0.25">
      <c r="A233" s="46">
        <v>56121</v>
      </c>
      <c r="B233" s="45" t="s">
        <v>72</v>
      </c>
      <c r="C233" s="43">
        <f>52829.4+550193.9</f>
        <v>603023.30000000005</v>
      </c>
      <c r="D233" s="43">
        <f t="shared" si="85"/>
        <v>50251.941666666673</v>
      </c>
      <c r="E233" s="43">
        <v>32361.4</v>
      </c>
      <c r="F233" s="43">
        <v>42660.800000000003</v>
      </c>
      <c r="G233" s="43">
        <f t="shared" si="86"/>
        <v>140504.4289</v>
      </c>
      <c r="H233" s="44">
        <f t="shared" si="87"/>
        <v>0.41342937501396299</v>
      </c>
      <c r="I233" s="43">
        <f>7990664.7*H233/100+5000</f>
        <v>38035.755128671357</v>
      </c>
      <c r="J233" s="43"/>
      <c r="K233" s="43">
        <f>336.8+30000</f>
        <v>30336.799999999999</v>
      </c>
      <c r="L233" s="43">
        <f t="shared" si="88"/>
        <v>68372.55512867136</v>
      </c>
      <c r="M233" s="43">
        <v>59984.9</v>
      </c>
      <c r="N233" s="43">
        <f t="shared" si="89"/>
        <v>-8387.6551286713584</v>
      </c>
      <c r="O233" s="43">
        <f t="shared" si="83"/>
        <v>87.732424051015059</v>
      </c>
      <c r="P233" s="43">
        <v>168666.60000000003</v>
      </c>
      <c r="Q233" s="44">
        <f t="shared" si="90"/>
        <v>0.68816460840834981</v>
      </c>
      <c r="R233" s="43">
        <f>6201897*Q233/100</f>
        <v>42679.260203939193</v>
      </c>
      <c r="S233" s="43">
        <f>15000-5000</f>
        <v>10000</v>
      </c>
      <c r="T233" s="43">
        <f>3000+2000</f>
        <v>5000</v>
      </c>
      <c r="U233" s="43"/>
      <c r="V233" s="43">
        <v>2000</v>
      </c>
      <c r="W233" s="43"/>
      <c r="X233" s="43">
        <f t="shared" si="76"/>
        <v>59679.260203939193</v>
      </c>
      <c r="Y233" s="43">
        <v>29510.198</v>
      </c>
      <c r="Z233" s="43">
        <f>Y233+2300</f>
        <v>31810.198</v>
      </c>
      <c r="AA233" s="43">
        <v>30000</v>
      </c>
      <c r="AB233" s="43"/>
      <c r="AC233" s="43">
        <v>4700</v>
      </c>
      <c r="AD233" s="43">
        <f t="shared" si="84"/>
        <v>66510.198000000004</v>
      </c>
      <c r="AE233" s="43">
        <f>46096+13016</f>
        <v>59112</v>
      </c>
      <c r="AF233" s="43"/>
      <c r="AG233" s="43"/>
      <c r="AH233" s="42">
        <f t="shared" si="78"/>
        <v>59112</v>
      </c>
      <c r="AI233" s="41">
        <f>59112+7000</f>
        <v>66112</v>
      </c>
      <c r="AJ233" s="49">
        <v>138474.4</v>
      </c>
      <c r="AK233" s="49">
        <f>109077.2-30000-20000</f>
        <v>59077.2</v>
      </c>
      <c r="AL233" s="39">
        <f t="shared" si="79"/>
        <v>59077.2</v>
      </c>
      <c r="AM233" s="49"/>
      <c r="AN233" s="49">
        <f t="shared" si="80"/>
        <v>59077.2</v>
      </c>
    </row>
    <row r="234" spans="1:40" s="18" customFormat="1" ht="24.75" customHeight="1" x14ac:dyDescent="0.25">
      <c r="A234" s="46">
        <v>58110</v>
      </c>
      <c r="B234" s="45" t="s">
        <v>71</v>
      </c>
      <c r="C234" s="43">
        <v>17754.900000000001</v>
      </c>
      <c r="D234" s="43">
        <f t="shared" si="85"/>
        <v>1479.575</v>
      </c>
      <c r="E234" s="43">
        <v>1440</v>
      </c>
      <c r="F234" s="43">
        <v>1606.2</v>
      </c>
      <c r="G234" s="43">
        <f t="shared" si="86"/>
        <v>4136.8917000000001</v>
      </c>
      <c r="H234" s="44">
        <f t="shared" si="87"/>
        <v>1.6786878579507586E-2</v>
      </c>
      <c r="I234" s="43">
        <v>985.6</v>
      </c>
      <c r="J234" s="43"/>
      <c r="K234" s="43"/>
      <c r="L234" s="43">
        <f t="shared" si="88"/>
        <v>985.6</v>
      </c>
      <c r="M234" s="43">
        <v>985.6</v>
      </c>
      <c r="N234" s="43">
        <f t="shared" si="89"/>
        <v>0</v>
      </c>
      <c r="O234" s="43">
        <f t="shared" si="83"/>
        <v>100</v>
      </c>
      <c r="P234" s="43">
        <v>4571.8</v>
      </c>
      <c r="Q234" s="44">
        <f t="shared" si="90"/>
        <v>1.8653076286124774E-2</v>
      </c>
      <c r="R234" s="43">
        <f>6201897*Q234/100+150</f>
        <v>1306.8445785968838</v>
      </c>
      <c r="S234" s="43"/>
      <c r="T234" s="43"/>
      <c r="U234" s="43"/>
      <c r="V234" s="43"/>
      <c r="W234" s="43"/>
      <c r="X234" s="43">
        <f t="shared" si="76"/>
        <v>1306.8445785968838</v>
      </c>
      <c r="Y234" s="43">
        <v>1255.5980000000002</v>
      </c>
      <c r="Z234" s="43">
        <f t="shared" ref="Z234:Z244" si="91">Y234</f>
        <v>1255.5980000000002</v>
      </c>
      <c r="AA234" s="43">
        <v>409</v>
      </c>
      <c r="AB234" s="43"/>
      <c r="AC234" s="43"/>
      <c r="AD234" s="43">
        <f t="shared" si="84"/>
        <v>1664.5980000000002</v>
      </c>
      <c r="AE234" s="43">
        <v>1600.4</v>
      </c>
      <c r="AF234" s="43"/>
      <c r="AG234" s="43"/>
      <c r="AH234" s="42">
        <f t="shared" si="78"/>
        <v>1600.4</v>
      </c>
      <c r="AI234" s="41">
        <v>1477.1</v>
      </c>
      <c r="AJ234" s="40">
        <v>1477.1</v>
      </c>
      <c r="AK234" s="49">
        <v>1477.2</v>
      </c>
      <c r="AL234" s="39">
        <f t="shared" si="79"/>
        <v>1477.2</v>
      </c>
      <c r="AM234" s="49"/>
      <c r="AN234" s="49">
        <f t="shared" si="80"/>
        <v>1477.2</v>
      </c>
    </row>
    <row r="235" spans="1:40" s="18" customFormat="1" ht="24.75" customHeight="1" x14ac:dyDescent="0.25">
      <c r="A235" s="46">
        <v>58120</v>
      </c>
      <c r="B235" s="45" t="s">
        <v>70</v>
      </c>
      <c r="C235" s="43">
        <v>2273.9</v>
      </c>
      <c r="D235" s="43">
        <f t="shared" si="85"/>
        <v>189.49166666666667</v>
      </c>
      <c r="E235" s="43">
        <v>182.8</v>
      </c>
      <c r="F235" s="43">
        <v>167</v>
      </c>
      <c r="G235" s="43">
        <f t="shared" si="86"/>
        <v>529.81870000000004</v>
      </c>
      <c r="H235" s="44">
        <f t="shared" si="87"/>
        <v>1.9276640165162345E-3</v>
      </c>
      <c r="I235" s="43">
        <v>171.6</v>
      </c>
      <c r="J235" s="43"/>
      <c r="K235" s="43"/>
      <c r="L235" s="43">
        <f t="shared" si="88"/>
        <v>171.6</v>
      </c>
      <c r="M235" s="43">
        <v>171.6</v>
      </c>
      <c r="N235" s="43">
        <f t="shared" si="89"/>
        <v>0</v>
      </c>
      <c r="O235" s="43">
        <f t="shared" si="83"/>
        <v>100</v>
      </c>
      <c r="P235" s="43">
        <v>593.00000000000011</v>
      </c>
      <c r="Q235" s="44">
        <f t="shared" si="90"/>
        <v>2.4194571585966127E-3</v>
      </c>
      <c r="R235" s="43">
        <f>6201897*Q235/100+20</f>
        <v>170.05224093528858</v>
      </c>
      <c r="S235" s="43"/>
      <c r="T235" s="43"/>
      <c r="U235" s="43"/>
      <c r="V235" s="43"/>
      <c r="W235" s="43"/>
      <c r="X235" s="43">
        <f t="shared" si="76"/>
        <v>170.05224093528858</v>
      </c>
      <c r="Y235" s="43">
        <v>164.86500000000001</v>
      </c>
      <c r="Z235" s="43">
        <f t="shared" si="91"/>
        <v>164.86500000000001</v>
      </c>
      <c r="AA235" s="43">
        <v>89.8</v>
      </c>
      <c r="AB235" s="43"/>
      <c r="AC235" s="43"/>
      <c r="AD235" s="43">
        <f t="shared" si="84"/>
        <v>254.66500000000002</v>
      </c>
      <c r="AE235" s="43">
        <v>168.2</v>
      </c>
      <c r="AF235" s="43"/>
      <c r="AG235" s="43"/>
      <c r="AH235" s="42">
        <f t="shared" si="78"/>
        <v>168.2</v>
      </c>
      <c r="AI235" s="41">
        <v>186</v>
      </c>
      <c r="AJ235" s="40">
        <v>186</v>
      </c>
      <c r="AK235" s="49">
        <v>186.1</v>
      </c>
      <c r="AL235" s="39">
        <f t="shared" si="79"/>
        <v>186.1</v>
      </c>
      <c r="AM235" s="49"/>
      <c r="AN235" s="49">
        <f t="shared" si="80"/>
        <v>186.1</v>
      </c>
    </row>
    <row r="236" spans="1:40" s="18" customFormat="1" ht="14.25" customHeight="1" x14ac:dyDescent="0.25">
      <c r="A236" s="46">
        <v>59110</v>
      </c>
      <c r="B236" s="45" t="s">
        <v>69</v>
      </c>
      <c r="C236" s="43">
        <v>44102.9</v>
      </c>
      <c r="D236" s="43">
        <f t="shared" si="85"/>
        <v>3675.2416666666668</v>
      </c>
      <c r="E236" s="43">
        <v>2707.3</v>
      </c>
      <c r="F236" s="43">
        <v>3114.3</v>
      </c>
      <c r="G236" s="43">
        <f t="shared" si="86"/>
        <v>10275.975700000001</v>
      </c>
      <c r="H236" s="44">
        <f t="shared" si="87"/>
        <v>3.2081443220557206E-2</v>
      </c>
      <c r="I236" s="43">
        <v>2787.7</v>
      </c>
      <c r="J236" s="43"/>
      <c r="K236" s="43"/>
      <c r="L236" s="43">
        <f t="shared" si="88"/>
        <v>2787.7</v>
      </c>
      <c r="M236" s="43">
        <v>2787.7</v>
      </c>
      <c r="N236" s="43">
        <f t="shared" si="89"/>
        <v>0</v>
      </c>
      <c r="O236" s="43">
        <f t="shared" si="83"/>
        <v>100</v>
      </c>
      <c r="P236" s="43">
        <v>11996.100000000002</v>
      </c>
      <c r="Q236" s="44">
        <f t="shared" si="90"/>
        <v>4.8944435110018246E-2</v>
      </c>
      <c r="R236" s="43">
        <f>6201897*Q236/100</f>
        <v>3035.4834527551684</v>
      </c>
      <c r="S236" s="43"/>
      <c r="T236" s="43"/>
      <c r="U236" s="43"/>
      <c r="V236" s="43"/>
      <c r="W236" s="43"/>
      <c r="X236" s="43">
        <f t="shared" si="76"/>
        <v>3035.4834527551684</v>
      </c>
      <c r="Y236" s="43">
        <v>2482.6990000000001</v>
      </c>
      <c r="Z236" s="43">
        <f t="shared" si="91"/>
        <v>2482.6990000000001</v>
      </c>
      <c r="AA236" s="43"/>
      <c r="AB236" s="43"/>
      <c r="AC236" s="43"/>
      <c r="AD236" s="43">
        <f t="shared" si="84"/>
        <v>2482.6990000000001</v>
      </c>
      <c r="AE236" s="43">
        <v>3726</v>
      </c>
      <c r="AF236" s="43"/>
      <c r="AG236" s="43"/>
      <c r="AH236" s="42">
        <f t="shared" si="78"/>
        <v>3726</v>
      </c>
      <c r="AI236" s="41">
        <v>3726</v>
      </c>
      <c r="AJ236" s="49">
        <v>4632.1000000000004</v>
      </c>
      <c r="AK236" s="49">
        <f>5889-1000-2000</f>
        <v>2889</v>
      </c>
      <c r="AL236" s="39">
        <f t="shared" si="79"/>
        <v>2889</v>
      </c>
      <c r="AM236" s="49"/>
      <c r="AN236" s="49">
        <f t="shared" si="80"/>
        <v>2889</v>
      </c>
    </row>
    <row r="237" spans="1:40" s="18" customFormat="1" ht="12.75" customHeight="1" x14ac:dyDescent="0.25">
      <c r="A237" s="46">
        <v>59120</v>
      </c>
      <c r="B237" s="45" t="s">
        <v>68</v>
      </c>
      <c r="C237" s="43">
        <v>13083.3</v>
      </c>
      <c r="D237" s="43">
        <f t="shared" si="85"/>
        <v>1090.2749999999999</v>
      </c>
      <c r="E237" s="43">
        <v>1063.5</v>
      </c>
      <c r="F237" s="43">
        <v>1007</v>
      </c>
      <c r="G237" s="43">
        <f t="shared" si="86"/>
        <v>3048.4089000000004</v>
      </c>
      <c r="H237" s="44">
        <f t="shared" si="87"/>
        <v>1.1410029577463874E-2</v>
      </c>
      <c r="I237" s="43">
        <v>1759.2</v>
      </c>
      <c r="J237" s="43"/>
      <c r="K237" s="43"/>
      <c r="L237" s="43">
        <f t="shared" si="88"/>
        <v>1759.2</v>
      </c>
      <c r="M237" s="43">
        <v>1759.2</v>
      </c>
      <c r="N237" s="43">
        <f t="shared" si="89"/>
        <v>0</v>
      </c>
      <c r="O237" s="43">
        <f t="shared" si="83"/>
        <v>100</v>
      </c>
      <c r="P237" s="43">
        <v>3497.2</v>
      </c>
      <c r="Q237" s="44">
        <f t="shared" si="90"/>
        <v>1.426867719231715E-2</v>
      </c>
      <c r="R237" s="43">
        <f>6201897*Q237/100+300</f>
        <v>1184.9286627300016</v>
      </c>
      <c r="S237" s="43"/>
      <c r="T237" s="43"/>
      <c r="U237" s="43"/>
      <c r="V237" s="43"/>
      <c r="W237" s="43"/>
      <c r="X237" s="43">
        <f t="shared" ref="X237:X244" si="92">SUM(R237:V237)</f>
        <v>1184.9286627300016</v>
      </c>
      <c r="Y237" s="43">
        <v>873.63099999999997</v>
      </c>
      <c r="Z237" s="43">
        <f t="shared" si="91"/>
        <v>873.63099999999997</v>
      </c>
      <c r="AA237" s="43"/>
      <c r="AB237" s="43"/>
      <c r="AC237" s="43"/>
      <c r="AD237" s="43">
        <f t="shared" si="84"/>
        <v>873.63099999999997</v>
      </c>
      <c r="AE237" s="43">
        <v>1649.2</v>
      </c>
      <c r="AF237" s="43"/>
      <c r="AG237" s="43"/>
      <c r="AH237" s="42">
        <f t="shared" si="78"/>
        <v>1649.2</v>
      </c>
      <c r="AI237" s="41">
        <v>1115.3</v>
      </c>
      <c r="AJ237" s="40">
        <v>1688.6</v>
      </c>
      <c r="AK237" s="49">
        <f>2488-1500</f>
        <v>988</v>
      </c>
      <c r="AL237" s="39">
        <f t="shared" si="79"/>
        <v>988</v>
      </c>
      <c r="AM237" s="49">
        <v>284.5</v>
      </c>
      <c r="AN237" s="49">
        <f t="shared" si="80"/>
        <v>1272.5</v>
      </c>
    </row>
    <row r="238" spans="1:40" s="18" customFormat="1" ht="30.6" x14ac:dyDescent="0.25">
      <c r="A238" s="46">
        <v>60110</v>
      </c>
      <c r="B238" s="45" t="s">
        <v>67</v>
      </c>
      <c r="C238" s="43">
        <v>17113.900000000001</v>
      </c>
      <c r="D238" s="43">
        <f t="shared" si="85"/>
        <v>1426.1583333333335</v>
      </c>
      <c r="E238" s="43">
        <v>1387.1</v>
      </c>
      <c r="F238" s="43">
        <v>1341</v>
      </c>
      <c r="G238" s="43">
        <f t="shared" si="86"/>
        <v>3987.5387000000005</v>
      </c>
      <c r="H238" s="44">
        <f t="shared" si="87"/>
        <v>1.5033905670262833E-2</v>
      </c>
      <c r="I238" s="43">
        <v>1034.7</v>
      </c>
      <c r="J238" s="43"/>
      <c r="K238" s="43"/>
      <c r="L238" s="43">
        <f t="shared" si="88"/>
        <v>1034.7</v>
      </c>
      <c r="M238" s="43">
        <v>1034.7</v>
      </c>
      <c r="N238" s="43">
        <f t="shared" si="89"/>
        <v>0</v>
      </c>
      <c r="O238" s="43">
        <f t="shared" si="83"/>
        <v>100</v>
      </c>
      <c r="P238" s="43">
        <v>4423.8999999999996</v>
      </c>
      <c r="Q238" s="44">
        <f t="shared" si="90"/>
        <v>1.8049640006602953E-2</v>
      </c>
      <c r="R238" s="43">
        <f>6201897*Q238/100</f>
        <v>1119.4200820803082</v>
      </c>
      <c r="S238" s="43"/>
      <c r="T238" s="43"/>
      <c r="U238" s="43"/>
      <c r="V238" s="43"/>
      <c r="W238" s="43"/>
      <c r="X238" s="43">
        <f t="shared" si="92"/>
        <v>1119.4200820803082</v>
      </c>
      <c r="Y238" s="43">
        <v>1052.133</v>
      </c>
      <c r="Z238" s="43">
        <f t="shared" si="91"/>
        <v>1052.133</v>
      </c>
      <c r="AA238" s="43"/>
      <c r="AB238" s="43"/>
      <c r="AC238" s="43"/>
      <c r="AD238" s="43">
        <f t="shared" si="84"/>
        <v>1052.133</v>
      </c>
      <c r="AE238" s="43">
        <v>1824.2</v>
      </c>
      <c r="AF238" s="43"/>
      <c r="AG238" s="43"/>
      <c r="AH238" s="42">
        <f t="shared" si="78"/>
        <v>1824.2</v>
      </c>
      <c r="AI238" s="41">
        <v>1454.4</v>
      </c>
      <c r="AJ238" s="40">
        <v>1663.7</v>
      </c>
      <c r="AK238" s="49">
        <f>1628.7-300</f>
        <v>1328.7</v>
      </c>
      <c r="AL238" s="39">
        <f t="shared" si="79"/>
        <v>1328.7</v>
      </c>
      <c r="AM238" s="49"/>
      <c r="AN238" s="49">
        <f t="shared" si="80"/>
        <v>1328.7</v>
      </c>
    </row>
    <row r="239" spans="1:40" s="18" customFormat="1" ht="30.6" x14ac:dyDescent="0.25">
      <c r="A239" s="46">
        <v>60120</v>
      </c>
      <c r="B239" s="45" t="s">
        <v>66</v>
      </c>
      <c r="C239" s="43">
        <v>16128.1</v>
      </c>
      <c r="D239" s="43">
        <f t="shared" si="85"/>
        <v>1344.0083333333334</v>
      </c>
      <c r="E239" s="43">
        <v>876.9</v>
      </c>
      <c r="F239" s="43">
        <v>628</v>
      </c>
      <c r="G239" s="43">
        <f t="shared" si="86"/>
        <v>3757.8473000000004</v>
      </c>
      <c r="H239" s="44">
        <f t="shared" si="87"/>
        <v>8.2931434489859381E-3</v>
      </c>
      <c r="I239" s="43">
        <v>1462.3</v>
      </c>
      <c r="J239" s="43"/>
      <c r="K239" s="43"/>
      <c r="L239" s="43">
        <f t="shared" si="88"/>
        <v>1462.3</v>
      </c>
      <c r="M239" s="43">
        <v>1462.3</v>
      </c>
      <c r="N239" s="43">
        <f t="shared" si="89"/>
        <v>0</v>
      </c>
      <c r="O239" s="43">
        <f t="shared" si="83"/>
        <v>100</v>
      </c>
      <c r="P239" s="43">
        <v>4453.2</v>
      </c>
      <c r="Q239" s="44">
        <f t="shared" si="90"/>
        <v>1.8169184854405451E-2</v>
      </c>
      <c r="R239" s="43">
        <f>6201897*Q239/100</f>
        <v>1126.834130409826</v>
      </c>
      <c r="S239" s="43"/>
      <c r="T239" s="43"/>
      <c r="U239" s="43"/>
      <c r="V239" s="43"/>
      <c r="W239" s="43"/>
      <c r="X239" s="43">
        <f t="shared" si="92"/>
        <v>1126.834130409826</v>
      </c>
      <c r="Y239" s="43">
        <v>695.83400000000006</v>
      </c>
      <c r="Z239" s="43">
        <f t="shared" si="91"/>
        <v>695.83400000000006</v>
      </c>
      <c r="AA239" s="43"/>
      <c r="AB239" s="43"/>
      <c r="AC239" s="43"/>
      <c r="AD239" s="43">
        <f t="shared" si="84"/>
        <v>695.83400000000006</v>
      </c>
      <c r="AE239" s="43">
        <v>803.9</v>
      </c>
      <c r="AF239" s="43"/>
      <c r="AG239" s="43"/>
      <c r="AH239" s="42">
        <f t="shared" si="78"/>
        <v>803.9</v>
      </c>
      <c r="AI239" s="41">
        <v>803.9</v>
      </c>
      <c r="AJ239" s="40">
        <v>841.8</v>
      </c>
      <c r="AK239" s="49">
        <f>4671.7-3000-800</f>
        <v>871.69999999999982</v>
      </c>
      <c r="AL239" s="39">
        <f t="shared" si="79"/>
        <v>871.69999999999982</v>
      </c>
      <c r="AM239" s="49"/>
      <c r="AN239" s="49">
        <f t="shared" si="80"/>
        <v>871.69999999999982</v>
      </c>
    </row>
    <row r="240" spans="1:40" s="18" customFormat="1" ht="30.6" x14ac:dyDescent="0.25">
      <c r="A240" s="48">
        <v>60911</v>
      </c>
      <c r="B240" s="45" t="s">
        <v>65</v>
      </c>
      <c r="C240" s="43">
        <v>8000</v>
      </c>
      <c r="D240" s="43">
        <f t="shared" si="85"/>
        <v>666.66666666666663</v>
      </c>
      <c r="E240" s="43"/>
      <c r="F240" s="43"/>
      <c r="G240" s="43">
        <f t="shared" si="86"/>
        <v>1864</v>
      </c>
      <c r="H240" s="44">
        <f t="shared" si="87"/>
        <v>0</v>
      </c>
      <c r="I240" s="43">
        <v>8000</v>
      </c>
      <c r="J240" s="43"/>
      <c r="K240" s="43"/>
      <c r="L240" s="43">
        <f t="shared" si="88"/>
        <v>8000</v>
      </c>
      <c r="M240" s="43">
        <v>8000</v>
      </c>
      <c r="N240" s="43">
        <f t="shared" si="89"/>
        <v>0</v>
      </c>
      <c r="O240" s="43">
        <f t="shared" si="83"/>
        <v>100</v>
      </c>
      <c r="P240" s="43">
        <v>0</v>
      </c>
      <c r="Q240" s="44">
        <f t="shared" si="90"/>
        <v>0</v>
      </c>
      <c r="R240" s="43">
        <f>6201897*Q240/100</f>
        <v>0</v>
      </c>
      <c r="S240" s="43"/>
      <c r="T240" s="43"/>
      <c r="U240" s="43"/>
      <c r="V240" s="43"/>
      <c r="W240" s="43"/>
      <c r="X240" s="43">
        <f t="shared" si="92"/>
        <v>0</v>
      </c>
      <c r="Y240" s="43"/>
      <c r="Z240" s="43">
        <f t="shared" si="91"/>
        <v>0</v>
      </c>
      <c r="AA240" s="43"/>
      <c r="AB240" s="43"/>
      <c r="AC240" s="43"/>
      <c r="AD240" s="43">
        <f t="shared" si="84"/>
        <v>0</v>
      </c>
      <c r="AE240" s="43"/>
      <c r="AF240" s="43"/>
      <c r="AG240" s="43"/>
      <c r="AH240" s="42">
        <f t="shared" si="78"/>
        <v>0</v>
      </c>
      <c r="AI240" s="41"/>
      <c r="AJ240" s="40">
        <v>0</v>
      </c>
      <c r="AK240" s="49"/>
      <c r="AL240" s="39">
        <f t="shared" si="79"/>
        <v>0</v>
      </c>
      <c r="AM240" s="49"/>
      <c r="AN240" s="49">
        <f t="shared" si="80"/>
        <v>0</v>
      </c>
    </row>
    <row r="241" spans="1:40" s="18" customFormat="1" ht="24.75" customHeight="1" x14ac:dyDescent="0.25">
      <c r="A241" s="46">
        <v>61110</v>
      </c>
      <c r="B241" s="45" t="s">
        <v>64</v>
      </c>
      <c r="C241" s="43">
        <v>77514.2</v>
      </c>
      <c r="D241" s="43">
        <f t="shared" si="85"/>
        <v>6459.5166666666664</v>
      </c>
      <c r="E241" s="43">
        <v>5204.1000000000004</v>
      </c>
      <c r="F241" s="43">
        <v>5267.2</v>
      </c>
      <c r="G241" s="43">
        <f t="shared" si="86"/>
        <v>18060.8086</v>
      </c>
      <c r="H241" s="44">
        <f t="shared" si="87"/>
        <v>5.7704826232551298E-2</v>
      </c>
      <c r="I241" s="43">
        <v>7092.5</v>
      </c>
      <c r="J241" s="43"/>
      <c r="K241" s="43"/>
      <c r="L241" s="43">
        <f t="shared" si="88"/>
        <v>7092.5</v>
      </c>
      <c r="M241" s="43">
        <v>7092.5</v>
      </c>
      <c r="N241" s="43">
        <f t="shared" si="89"/>
        <v>0</v>
      </c>
      <c r="O241" s="43">
        <f t="shared" si="83"/>
        <v>100</v>
      </c>
      <c r="P241" s="43">
        <v>20301.100000000002</v>
      </c>
      <c r="Q241" s="44">
        <f t="shared" si="90"/>
        <v>8.2829075417176531E-2</v>
      </c>
      <c r="R241" s="43">
        <f>6201897*Q241/100+100</f>
        <v>5236.9739434256089</v>
      </c>
      <c r="S241" s="43"/>
      <c r="T241" s="43"/>
      <c r="U241" s="43"/>
      <c r="V241" s="43"/>
      <c r="W241" s="43"/>
      <c r="X241" s="43">
        <f t="shared" si="92"/>
        <v>5236.9739434256089</v>
      </c>
      <c r="Y241" s="43">
        <v>4825.3670000000011</v>
      </c>
      <c r="Z241" s="43">
        <f t="shared" si="91"/>
        <v>4825.3670000000011</v>
      </c>
      <c r="AA241" s="43"/>
      <c r="AB241" s="43"/>
      <c r="AC241" s="43"/>
      <c r="AD241" s="43">
        <f t="shared" si="84"/>
        <v>4825.3670000000011</v>
      </c>
      <c r="AE241" s="43">
        <v>6537.8</v>
      </c>
      <c r="AF241" s="43"/>
      <c r="AG241" s="43"/>
      <c r="AH241" s="42">
        <f t="shared" si="78"/>
        <v>6537.8</v>
      </c>
      <c r="AI241" s="41">
        <v>5695.8</v>
      </c>
      <c r="AJ241" s="40">
        <v>7738</v>
      </c>
      <c r="AK241" s="49">
        <f>10243.8-3000-2000</f>
        <v>5243.7999999999993</v>
      </c>
      <c r="AL241" s="39">
        <f t="shared" si="79"/>
        <v>5243.7999999999993</v>
      </c>
      <c r="AM241" s="49"/>
      <c r="AN241" s="49">
        <f t="shared" si="80"/>
        <v>5243.7999999999993</v>
      </c>
    </row>
    <row r="242" spans="1:40" s="18" customFormat="1" ht="30.6" x14ac:dyDescent="0.25">
      <c r="A242" s="46">
        <v>61120</v>
      </c>
      <c r="B242" s="45" t="s">
        <v>63</v>
      </c>
      <c r="C242" s="43">
        <v>66304.600000000006</v>
      </c>
      <c r="D242" s="43">
        <f t="shared" si="85"/>
        <v>5525.3833333333341</v>
      </c>
      <c r="E242" s="43">
        <v>5091.1000000000004</v>
      </c>
      <c r="F242" s="43">
        <v>4961.3999999999996</v>
      </c>
      <c r="G242" s="43">
        <f t="shared" si="86"/>
        <v>15448.971800000001</v>
      </c>
      <c r="H242" s="44">
        <f t="shared" si="87"/>
        <v>5.5396919742794301E-2</v>
      </c>
      <c r="I242" s="43">
        <v>4977.1000000000004</v>
      </c>
      <c r="J242" s="43"/>
      <c r="K242" s="43"/>
      <c r="L242" s="43">
        <f t="shared" si="88"/>
        <v>4977.1000000000004</v>
      </c>
      <c r="M242" s="43">
        <v>4977.1000000000004</v>
      </c>
      <c r="N242" s="43">
        <f t="shared" si="89"/>
        <v>0</v>
      </c>
      <c r="O242" s="43">
        <f t="shared" si="83"/>
        <v>100</v>
      </c>
      <c r="P242" s="43">
        <v>17737.599999999999</v>
      </c>
      <c r="Q242" s="44">
        <f t="shared" si="90"/>
        <v>7.2369921241691837E-2</v>
      </c>
      <c r="R242" s="43">
        <f>6201897*Q242/100+500</f>
        <v>4988.3079743908484</v>
      </c>
      <c r="S242" s="43"/>
      <c r="T242" s="43"/>
      <c r="U242" s="43"/>
      <c r="V242" s="43"/>
      <c r="W242" s="43"/>
      <c r="X242" s="43">
        <f t="shared" si="92"/>
        <v>4988.3079743908484</v>
      </c>
      <c r="Y242" s="43">
        <v>4690.9679999999998</v>
      </c>
      <c r="Z242" s="43">
        <f t="shared" si="91"/>
        <v>4690.9679999999998</v>
      </c>
      <c r="AA242" s="43"/>
      <c r="AB242" s="43"/>
      <c r="AC242" s="43"/>
      <c r="AD242" s="43">
        <f t="shared" si="84"/>
        <v>4690.9679999999998</v>
      </c>
      <c r="AE242" s="43">
        <v>4598.5</v>
      </c>
      <c r="AF242" s="43"/>
      <c r="AG242" s="43"/>
      <c r="AH242" s="42">
        <f t="shared" si="78"/>
        <v>4598.5</v>
      </c>
      <c r="AI242" s="41">
        <v>5156.6000000000004</v>
      </c>
      <c r="AJ242" s="40">
        <v>6300</v>
      </c>
      <c r="AK242" s="49">
        <f>9999.7-3000-2000</f>
        <v>4999.7000000000007</v>
      </c>
      <c r="AL242" s="39">
        <f t="shared" si="79"/>
        <v>4999.7000000000007</v>
      </c>
      <c r="AM242" s="49"/>
      <c r="AN242" s="49">
        <f t="shared" si="80"/>
        <v>4999.7000000000007</v>
      </c>
    </row>
    <row r="243" spans="1:40" s="18" customFormat="1" ht="24.75" customHeight="1" x14ac:dyDescent="0.25">
      <c r="A243" s="46">
        <v>62110</v>
      </c>
      <c r="B243" s="45" t="s">
        <v>62</v>
      </c>
      <c r="C243" s="43">
        <v>43293.1</v>
      </c>
      <c r="D243" s="43">
        <f t="shared" si="85"/>
        <v>3607.7583333333332</v>
      </c>
      <c r="E243" s="43">
        <v>2445</v>
      </c>
      <c r="F243" s="43">
        <v>3010.5</v>
      </c>
      <c r="G243" s="43">
        <f t="shared" si="86"/>
        <v>10087.292299999999</v>
      </c>
      <c r="H243" s="44">
        <f t="shared" si="87"/>
        <v>3.0063953808188441E-2</v>
      </c>
      <c r="I243" s="43">
        <v>4778.8</v>
      </c>
      <c r="J243" s="43"/>
      <c r="K243" s="43"/>
      <c r="L243" s="43">
        <f t="shared" si="88"/>
        <v>4778.8</v>
      </c>
      <c r="M243" s="43">
        <v>3066.3</v>
      </c>
      <c r="N243" s="43">
        <f t="shared" si="89"/>
        <v>-1712.5</v>
      </c>
      <c r="O243" s="43">
        <f t="shared" si="83"/>
        <v>64.16464384364275</v>
      </c>
      <c r="P243" s="43">
        <v>11569.3</v>
      </c>
      <c r="Q243" s="44">
        <f t="shared" si="90"/>
        <v>4.7203078760458317E-2</v>
      </c>
      <c r="R243" s="43">
        <f>6201897*Q243/100</f>
        <v>2927.4863255525015</v>
      </c>
      <c r="S243" s="43"/>
      <c r="T243" s="43"/>
      <c r="U243" s="43">
        <v>2573</v>
      </c>
      <c r="V243" s="43"/>
      <c r="W243" s="43"/>
      <c r="X243" s="43">
        <f t="shared" si="92"/>
        <v>5500.4863255525015</v>
      </c>
      <c r="Y243" s="43">
        <v>2618.0009999999997</v>
      </c>
      <c r="Z243" s="43">
        <f t="shared" si="91"/>
        <v>2618.0009999999997</v>
      </c>
      <c r="AA243" s="43"/>
      <c r="AB243" s="43"/>
      <c r="AC243" s="43"/>
      <c r="AD243" s="43">
        <f t="shared" si="84"/>
        <v>2618.0009999999997</v>
      </c>
      <c r="AE243" s="43">
        <v>4647</v>
      </c>
      <c r="AF243" s="43"/>
      <c r="AG243" s="43"/>
      <c r="AH243" s="42">
        <f t="shared" si="78"/>
        <v>4647</v>
      </c>
      <c r="AI243" s="41">
        <v>3601.6</v>
      </c>
      <c r="AJ243" s="40">
        <v>3439</v>
      </c>
      <c r="AK243" s="49">
        <v>2600</v>
      </c>
      <c r="AL243" s="39">
        <f t="shared" si="79"/>
        <v>2600</v>
      </c>
      <c r="AM243" s="49"/>
      <c r="AN243" s="49">
        <f t="shared" si="80"/>
        <v>2600</v>
      </c>
    </row>
    <row r="244" spans="1:40" s="18" customFormat="1" ht="24.75" customHeight="1" x14ac:dyDescent="0.25">
      <c r="A244" s="46">
        <v>62120</v>
      </c>
      <c r="B244" s="45" t="s">
        <v>61</v>
      </c>
      <c r="C244" s="43">
        <v>445527</v>
      </c>
      <c r="D244" s="43">
        <f t="shared" si="85"/>
        <v>37127.25</v>
      </c>
      <c r="E244" s="43">
        <v>21731.3</v>
      </c>
      <c r="F244" s="43">
        <v>39689.1</v>
      </c>
      <c r="G244" s="43">
        <f t="shared" si="86"/>
        <v>103807.791</v>
      </c>
      <c r="H244" s="44">
        <f t="shared" si="87"/>
        <v>0.33847311309329248</v>
      </c>
      <c r="I244" s="43">
        <f>7990664.7*H244/100</f>
        <v>27046.2515669368</v>
      </c>
      <c r="J244" s="43"/>
      <c r="K244" s="43"/>
      <c r="L244" s="43">
        <f t="shared" si="88"/>
        <v>27046.2515669368</v>
      </c>
      <c r="M244" s="43">
        <v>25588.421999999999</v>
      </c>
      <c r="N244" s="43">
        <f t="shared" si="89"/>
        <v>-1457.8295669368017</v>
      </c>
      <c r="O244" s="43">
        <f t="shared" si="83"/>
        <v>94.609864648604571</v>
      </c>
      <c r="P244" s="43">
        <v>133759.59999999998</v>
      </c>
      <c r="Q244" s="44">
        <f t="shared" si="90"/>
        <v>0.54574303836596849</v>
      </c>
      <c r="R244" s="43">
        <f>6201897*Q244/100-4000</f>
        <v>29846.421124127846</v>
      </c>
      <c r="S244" s="43"/>
      <c r="T244" s="43">
        <v>12300</v>
      </c>
      <c r="U244" s="43">
        <v>-2573</v>
      </c>
      <c r="V244" s="43"/>
      <c r="W244" s="43"/>
      <c r="X244" s="43">
        <f t="shared" si="92"/>
        <v>39573.421124127846</v>
      </c>
      <c r="Y244" s="43">
        <v>71203.434000000008</v>
      </c>
      <c r="Z244" s="43">
        <f t="shared" si="91"/>
        <v>71203.434000000008</v>
      </c>
      <c r="AA244" s="43"/>
      <c r="AB244" s="43"/>
      <c r="AC244" s="43"/>
      <c r="AD244" s="43">
        <f t="shared" si="84"/>
        <v>71203.434000000008</v>
      </c>
      <c r="AE244" s="43">
        <v>34871.4</v>
      </c>
      <c r="AF244" s="43"/>
      <c r="AG244" s="43"/>
      <c r="AH244" s="42">
        <f t="shared" si="78"/>
        <v>34871.4</v>
      </c>
      <c r="AI244" s="41">
        <f>41818.7+3650</f>
        <v>45468.7</v>
      </c>
      <c r="AJ244" s="40">
        <v>65768.7</v>
      </c>
      <c r="AK244" s="49">
        <f>48000-26000</f>
        <v>22000</v>
      </c>
      <c r="AL244" s="39">
        <f t="shared" si="79"/>
        <v>22000</v>
      </c>
      <c r="AM244" s="49"/>
      <c r="AN244" s="49">
        <f t="shared" si="80"/>
        <v>22000</v>
      </c>
    </row>
    <row r="245" spans="1:40" s="18" customFormat="1" ht="20.399999999999999" x14ac:dyDescent="0.25">
      <c r="A245" s="46">
        <v>63110</v>
      </c>
      <c r="B245" s="45" t="s">
        <v>60</v>
      </c>
      <c r="C245" s="43"/>
      <c r="D245" s="43"/>
      <c r="E245" s="43"/>
      <c r="F245" s="43"/>
      <c r="G245" s="43"/>
      <c r="H245" s="44"/>
      <c r="I245" s="43"/>
      <c r="J245" s="43"/>
      <c r="K245" s="43"/>
      <c r="L245" s="43"/>
      <c r="M245" s="43"/>
      <c r="N245" s="43"/>
      <c r="O245" s="43"/>
      <c r="P245" s="43"/>
      <c r="Q245" s="44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2"/>
      <c r="AI245" s="41"/>
      <c r="AJ245" s="40">
        <v>4032.1</v>
      </c>
      <c r="AK245" s="49">
        <v>1921.6120000000001</v>
      </c>
      <c r="AL245" s="39">
        <f t="shared" si="79"/>
        <v>1921.6120000000001</v>
      </c>
      <c r="AM245" s="49"/>
      <c r="AN245" s="49">
        <f t="shared" si="80"/>
        <v>1921.6120000000001</v>
      </c>
    </row>
    <row r="246" spans="1:40" s="18" customFormat="1" ht="14.25" customHeight="1" x14ac:dyDescent="0.25">
      <c r="A246" s="46">
        <v>64110</v>
      </c>
      <c r="B246" s="45" t="s">
        <v>59</v>
      </c>
      <c r="C246" s="43">
        <v>19061.400000000001</v>
      </c>
      <c r="D246" s="43">
        <f t="shared" ref="D246:D278" si="93">C246/12</f>
        <v>1588.45</v>
      </c>
      <c r="E246" s="43">
        <v>1549.3</v>
      </c>
      <c r="F246" s="43">
        <v>1531.3</v>
      </c>
      <c r="G246" s="43">
        <f t="shared" ref="G246:G278" si="94">C246*23.3/100</f>
        <v>4441.3062000000009</v>
      </c>
      <c r="H246" s="44">
        <f t="shared" ref="H246:H278" si="95">(E246+F246)/(8725103.2+9421212.6)*100</f>
        <v>1.6976448740079794E-2</v>
      </c>
      <c r="I246" s="43">
        <f>7990664.7*H246/100+200</f>
        <v>1556.531096787151</v>
      </c>
      <c r="J246" s="43"/>
      <c r="K246" s="43"/>
      <c r="L246" s="43">
        <f t="shared" ref="L246:L251" si="96">SUM(I246:K246)</f>
        <v>1556.531096787151</v>
      </c>
      <c r="M246" s="43">
        <v>1556.5</v>
      </c>
      <c r="N246" s="43">
        <f t="shared" ref="N246:N280" si="97">M246-L246</f>
        <v>-3.1096787151000171E-2</v>
      </c>
      <c r="O246" s="43">
        <f t="shared" ref="O246:O265" si="98">M246/L246*100</f>
        <v>99.998002173730086</v>
      </c>
      <c r="P246" s="43">
        <v>4854.6000000000004</v>
      </c>
      <c r="Q246" s="44">
        <f t="shared" ref="Q246:Q279" si="99">P246/24509630.1*100</f>
        <v>1.9806908469010308E-2</v>
      </c>
      <c r="R246" s="43">
        <f>6201897*Q246/100+300</f>
        <v>1528.4040621322963</v>
      </c>
      <c r="S246" s="43"/>
      <c r="T246" s="43"/>
      <c r="U246" s="43"/>
      <c r="V246" s="43"/>
      <c r="W246" s="43"/>
      <c r="X246" s="43">
        <f t="shared" ref="X246:X280" si="100">SUM(R246:V246)</f>
        <v>1528.4040621322963</v>
      </c>
      <c r="Y246" s="43">
        <v>1507.6329999999998</v>
      </c>
      <c r="Z246" s="43">
        <f>Y246</f>
        <v>1507.6329999999998</v>
      </c>
      <c r="AA246" s="43"/>
      <c r="AB246" s="43"/>
      <c r="AC246" s="43"/>
      <c r="AD246" s="43">
        <f t="shared" ref="AD246:AD280" si="101">SUM(Z246:AC246)</f>
        <v>1507.6329999999998</v>
      </c>
      <c r="AE246" s="43">
        <v>1900.5</v>
      </c>
      <c r="AF246" s="43"/>
      <c r="AG246" s="43"/>
      <c r="AH246" s="42">
        <f t="shared" ref="AH246:AH280" si="102">AE246+AF246+AG246</f>
        <v>1900.5</v>
      </c>
      <c r="AI246" s="41">
        <v>1500</v>
      </c>
      <c r="AJ246" s="40">
        <v>1523.1</v>
      </c>
      <c r="AK246" s="49">
        <v>1612.5</v>
      </c>
      <c r="AL246" s="39">
        <f t="shared" si="79"/>
        <v>1612.5</v>
      </c>
      <c r="AM246" s="49"/>
      <c r="AN246" s="49">
        <f t="shared" si="80"/>
        <v>1612.5</v>
      </c>
    </row>
    <row r="247" spans="1:40" s="18" customFormat="1" ht="20.399999999999999" x14ac:dyDescent="0.25">
      <c r="A247" s="46">
        <v>64220</v>
      </c>
      <c r="B247" s="45" t="s">
        <v>58</v>
      </c>
      <c r="C247" s="43">
        <v>3975.3</v>
      </c>
      <c r="D247" s="43">
        <f t="shared" si="93"/>
        <v>331.27500000000003</v>
      </c>
      <c r="E247" s="43">
        <v>318.10000000000002</v>
      </c>
      <c r="F247" s="43">
        <v>317.2</v>
      </c>
      <c r="G247" s="43">
        <f t="shared" si="94"/>
        <v>926.24490000000003</v>
      </c>
      <c r="H247" s="44">
        <f t="shared" si="95"/>
        <v>3.500986134055928E-3</v>
      </c>
      <c r="I247" s="43">
        <f>7990664.7*H247/100+50</f>
        <v>329.75206316590169</v>
      </c>
      <c r="J247" s="43"/>
      <c r="K247" s="43"/>
      <c r="L247" s="43">
        <f t="shared" si="96"/>
        <v>329.75206316590169</v>
      </c>
      <c r="M247" s="43">
        <v>283.8</v>
      </c>
      <c r="N247" s="43">
        <f t="shared" si="97"/>
        <v>-45.952063165901677</v>
      </c>
      <c r="O247" s="43">
        <f t="shared" si="98"/>
        <v>86.064662424027745</v>
      </c>
      <c r="P247" s="43">
        <v>1039.0999999999999</v>
      </c>
      <c r="Q247" s="44">
        <f t="shared" si="99"/>
        <v>4.239558066606643E-3</v>
      </c>
      <c r="R247" s="43">
        <f>6201897*Q247/100</f>
        <v>262.93302454613536</v>
      </c>
      <c r="S247" s="43"/>
      <c r="T247" s="43"/>
      <c r="U247" s="43"/>
      <c r="V247" s="43"/>
      <c r="W247" s="43"/>
      <c r="X247" s="43">
        <f t="shared" si="100"/>
        <v>262.93302454613536</v>
      </c>
      <c r="Y247" s="43">
        <v>290.53399999999999</v>
      </c>
      <c r="Z247" s="43">
        <f>Y247</f>
        <v>290.53399999999999</v>
      </c>
      <c r="AA247" s="43"/>
      <c r="AB247" s="43"/>
      <c r="AC247" s="43"/>
      <c r="AD247" s="43">
        <f t="shared" si="101"/>
        <v>290.53399999999999</v>
      </c>
      <c r="AE247" s="43">
        <v>427.2</v>
      </c>
      <c r="AF247" s="43"/>
      <c r="AG247" s="43"/>
      <c r="AH247" s="42">
        <f t="shared" si="102"/>
        <v>427.2</v>
      </c>
      <c r="AI247" s="41"/>
      <c r="AJ247" s="40">
        <v>318</v>
      </c>
      <c r="AK247" s="49">
        <f>734.3-400</f>
        <v>334.29999999999995</v>
      </c>
      <c r="AL247" s="39">
        <f t="shared" si="79"/>
        <v>334.29999999999995</v>
      </c>
      <c r="AM247" s="49"/>
      <c r="AN247" s="49">
        <f t="shared" si="80"/>
        <v>334.29999999999995</v>
      </c>
    </row>
    <row r="248" spans="1:40" s="18" customFormat="1" ht="20.399999999999999" x14ac:dyDescent="0.25">
      <c r="A248" s="46">
        <v>65110</v>
      </c>
      <c r="B248" s="45" t="s">
        <v>57</v>
      </c>
      <c r="C248" s="43">
        <v>141087.29999999999</v>
      </c>
      <c r="D248" s="43">
        <f t="shared" si="93"/>
        <v>11757.275</v>
      </c>
      <c r="E248" s="43">
        <v>8016.2</v>
      </c>
      <c r="F248" s="43">
        <v>11240.5</v>
      </c>
      <c r="G248" s="43">
        <f t="shared" si="94"/>
        <v>32873.340899999996</v>
      </c>
      <c r="H248" s="44">
        <f t="shared" si="95"/>
        <v>0.10611906136891987</v>
      </c>
      <c r="I248" s="43">
        <v>11263.5</v>
      </c>
      <c r="J248" s="43"/>
      <c r="K248" s="43"/>
      <c r="L248" s="43">
        <f t="shared" si="96"/>
        <v>11263.5</v>
      </c>
      <c r="M248" s="43">
        <v>10116.5</v>
      </c>
      <c r="N248" s="43">
        <f t="shared" si="97"/>
        <v>-1147</v>
      </c>
      <c r="O248" s="43">
        <f t="shared" si="98"/>
        <v>89.816664447107925</v>
      </c>
      <c r="P248" s="43">
        <v>37794.100000000006</v>
      </c>
      <c r="Q248" s="44">
        <f t="shared" si="99"/>
        <v>0.15420102158130899</v>
      </c>
      <c r="R248" s="43">
        <f>6201897*Q248/100</f>
        <v>9563.3885314205563</v>
      </c>
      <c r="S248" s="43">
        <v>4646.7</v>
      </c>
      <c r="T248" s="43"/>
      <c r="U248" s="43"/>
      <c r="V248" s="43"/>
      <c r="W248" s="43"/>
      <c r="X248" s="43">
        <f t="shared" si="100"/>
        <v>14210.088531420555</v>
      </c>
      <c r="Y248" s="43">
        <v>9141.7999999999993</v>
      </c>
      <c r="Z248" s="43">
        <f>Y248</f>
        <v>9141.7999999999993</v>
      </c>
      <c r="AA248" s="43"/>
      <c r="AB248" s="43"/>
      <c r="AC248" s="43"/>
      <c r="AD248" s="43">
        <f t="shared" si="101"/>
        <v>9141.7999999999993</v>
      </c>
      <c r="AE248" s="43">
        <v>7632.2</v>
      </c>
      <c r="AF248" s="43">
        <v>1519</v>
      </c>
      <c r="AG248" s="43"/>
      <c r="AH248" s="42">
        <f t="shared" si="102"/>
        <v>9151.2000000000007</v>
      </c>
      <c r="AI248" s="41">
        <f>9151.2+2730.5</f>
        <v>11881.7</v>
      </c>
      <c r="AJ248" s="40">
        <v>17556.400000000001</v>
      </c>
      <c r="AK248" s="49">
        <f>12644.9-2000</f>
        <v>10644.9</v>
      </c>
      <c r="AL248" s="39">
        <f t="shared" si="79"/>
        <v>10644.9</v>
      </c>
      <c r="AM248" s="49"/>
      <c r="AN248" s="49">
        <f t="shared" si="80"/>
        <v>10644.9</v>
      </c>
    </row>
    <row r="249" spans="1:40" s="18" customFormat="1" ht="13.2" x14ac:dyDescent="0.25">
      <c r="A249" s="46">
        <v>66110</v>
      </c>
      <c r="B249" s="45" t="s">
        <v>56</v>
      </c>
      <c r="C249" s="43">
        <v>11400</v>
      </c>
      <c r="D249" s="43">
        <f t="shared" si="93"/>
        <v>950</v>
      </c>
      <c r="E249" s="43">
        <v>916.6</v>
      </c>
      <c r="F249" s="43">
        <v>319</v>
      </c>
      <c r="G249" s="43">
        <f t="shared" si="94"/>
        <v>2656.2</v>
      </c>
      <c r="H249" s="44">
        <f t="shared" si="95"/>
        <v>6.809095651250598E-3</v>
      </c>
      <c r="I249" s="43">
        <v>1326.7</v>
      </c>
      <c r="J249" s="43"/>
      <c r="K249" s="43"/>
      <c r="L249" s="43">
        <f t="shared" si="96"/>
        <v>1326.7</v>
      </c>
      <c r="M249" s="43">
        <v>1326.7</v>
      </c>
      <c r="N249" s="43">
        <f t="shared" si="97"/>
        <v>0</v>
      </c>
      <c r="O249" s="43">
        <f t="shared" si="98"/>
        <v>100</v>
      </c>
      <c r="P249" s="43">
        <v>3030.2</v>
      </c>
      <c r="Q249" s="44">
        <f t="shared" si="99"/>
        <v>1.2363303679560631E-2</v>
      </c>
      <c r="R249" s="43">
        <f>6201897*Q249/100</f>
        <v>766.75936000356046</v>
      </c>
      <c r="S249" s="43"/>
      <c r="T249" s="43"/>
      <c r="U249" s="43"/>
      <c r="V249" s="43"/>
      <c r="W249" s="43"/>
      <c r="X249" s="43">
        <f t="shared" si="100"/>
        <v>766.75936000356046</v>
      </c>
      <c r="Y249" s="43">
        <v>0</v>
      </c>
      <c r="Z249" s="43">
        <f>D249</f>
        <v>950</v>
      </c>
      <c r="AA249" s="43"/>
      <c r="AB249" s="43"/>
      <c r="AC249" s="43"/>
      <c r="AD249" s="43">
        <f t="shared" si="101"/>
        <v>950</v>
      </c>
      <c r="AE249" s="43">
        <v>1626.3</v>
      </c>
      <c r="AF249" s="43"/>
      <c r="AG249" s="43"/>
      <c r="AH249" s="42">
        <f t="shared" si="102"/>
        <v>1626.3</v>
      </c>
      <c r="AI249" s="41">
        <v>950</v>
      </c>
      <c r="AJ249" s="40">
        <v>997.2</v>
      </c>
      <c r="AK249" s="49">
        <f>1842.5-1000</f>
        <v>842.5</v>
      </c>
      <c r="AL249" s="39">
        <f t="shared" si="79"/>
        <v>842.5</v>
      </c>
      <c r="AM249" s="49"/>
      <c r="AN249" s="49">
        <f t="shared" si="80"/>
        <v>842.5</v>
      </c>
    </row>
    <row r="250" spans="1:40" s="18" customFormat="1" ht="20.399999999999999" hidden="1" x14ac:dyDescent="0.25">
      <c r="A250" s="46">
        <v>67110</v>
      </c>
      <c r="B250" s="45" t="s">
        <v>55</v>
      </c>
      <c r="C250" s="43">
        <v>563817.6</v>
      </c>
      <c r="D250" s="43">
        <f t="shared" si="93"/>
        <v>46984.799999999996</v>
      </c>
      <c r="E250" s="43">
        <v>44572</v>
      </c>
      <c r="F250" s="43">
        <v>42757.9</v>
      </c>
      <c r="G250" s="43">
        <f t="shared" si="94"/>
        <v>131369.50080000001</v>
      </c>
      <c r="H250" s="44">
        <f t="shared" si="95"/>
        <v>0.48125416179520036</v>
      </c>
      <c r="I250" s="43">
        <v>36257.699999999997</v>
      </c>
      <c r="J250" s="43"/>
      <c r="K250" s="43"/>
      <c r="L250" s="43">
        <f t="shared" si="96"/>
        <v>36257.699999999997</v>
      </c>
      <c r="M250" s="43">
        <v>36257.699999999997</v>
      </c>
      <c r="N250" s="43">
        <f t="shared" si="97"/>
        <v>0</v>
      </c>
      <c r="O250" s="43">
        <f t="shared" si="98"/>
        <v>100</v>
      </c>
      <c r="P250" s="43">
        <v>171213.90000000002</v>
      </c>
      <c r="Q250" s="44">
        <f t="shared" si="99"/>
        <v>0.69855766611508352</v>
      </c>
      <c r="R250" s="43">
        <f>6201897*Q250/100</f>
        <v>43323.826938061378</v>
      </c>
      <c r="S250" s="43">
        <v>30000</v>
      </c>
      <c r="T250" s="43"/>
      <c r="U250" s="43">
        <v>3000</v>
      </c>
      <c r="V250" s="43"/>
      <c r="W250" s="43"/>
      <c r="X250" s="43">
        <f t="shared" si="100"/>
        <v>76323.826938061378</v>
      </c>
      <c r="Y250" s="43">
        <v>38722.1</v>
      </c>
      <c r="Z250" s="43">
        <f>Y250</f>
        <v>38722.1</v>
      </c>
      <c r="AA250" s="43">
        <v>35000</v>
      </c>
      <c r="AB250" s="43"/>
      <c r="AC250" s="43"/>
      <c r="AD250" s="43">
        <f t="shared" si="101"/>
        <v>73722.100000000006</v>
      </c>
      <c r="AE250" s="43">
        <v>40543.4</v>
      </c>
      <c r="AF250" s="43">
        <f>25000+7000+7000</f>
        <v>39000</v>
      </c>
      <c r="AG250" s="43"/>
      <c r="AH250" s="42">
        <f t="shared" si="102"/>
        <v>79543.399999999994</v>
      </c>
      <c r="AI250" s="41">
        <f>47794.7+38100+55000</f>
        <v>140894.70000000001</v>
      </c>
      <c r="AJ250" s="40">
        <v>57794.7</v>
      </c>
      <c r="AK250" s="49">
        <f>92590.9-25000-20000</f>
        <v>47590.899999999994</v>
      </c>
      <c r="AL250" s="39">
        <f t="shared" si="79"/>
        <v>47590.899999999994</v>
      </c>
      <c r="AM250" s="49"/>
      <c r="AN250" s="49">
        <f t="shared" si="80"/>
        <v>47590.899999999994</v>
      </c>
    </row>
    <row r="251" spans="1:40" s="18" customFormat="1" ht="20.399999999999999" hidden="1" x14ac:dyDescent="0.25">
      <c r="A251" s="46">
        <v>67120</v>
      </c>
      <c r="B251" s="45" t="s">
        <v>54</v>
      </c>
      <c r="C251" s="43">
        <f>268045.2+16114.7+9871.7</f>
        <v>294031.60000000003</v>
      </c>
      <c r="D251" s="43">
        <f t="shared" si="93"/>
        <v>24502.633333333335</v>
      </c>
      <c r="E251" s="43">
        <v>23119.3</v>
      </c>
      <c r="F251" s="43">
        <v>22638.799999999999</v>
      </c>
      <c r="G251" s="43">
        <f t="shared" si="94"/>
        <v>68509.362800000017</v>
      </c>
      <c r="H251" s="44">
        <f t="shared" si="95"/>
        <v>0.25216192919997571</v>
      </c>
      <c r="I251" s="43">
        <v>21914</v>
      </c>
      <c r="J251" s="43"/>
      <c r="K251" s="43"/>
      <c r="L251" s="43">
        <f t="shared" si="96"/>
        <v>21914</v>
      </c>
      <c r="M251" s="43">
        <v>21914</v>
      </c>
      <c r="N251" s="43">
        <f t="shared" si="97"/>
        <v>0</v>
      </c>
      <c r="O251" s="43">
        <f t="shared" si="98"/>
        <v>100</v>
      </c>
      <c r="P251" s="43">
        <v>78817.700000000012</v>
      </c>
      <c r="Q251" s="44">
        <f t="shared" si="99"/>
        <v>0.3215784966089717</v>
      </c>
      <c r="R251" s="43">
        <f>6201897*Q251/100+2000</f>
        <v>21943.967133836919</v>
      </c>
      <c r="S251" s="43"/>
      <c r="T251" s="43"/>
      <c r="U251" s="43">
        <v>2000</v>
      </c>
      <c r="V251" s="43"/>
      <c r="W251" s="43"/>
      <c r="X251" s="43">
        <f t="shared" si="100"/>
        <v>23943.967133836919</v>
      </c>
      <c r="Y251" s="43">
        <v>21887.432999999997</v>
      </c>
      <c r="Z251" s="43">
        <f>Y251</f>
        <v>21887.432999999997</v>
      </c>
      <c r="AA251" s="43">
        <v>4300</v>
      </c>
      <c r="AB251" s="43"/>
      <c r="AC251" s="43"/>
      <c r="AD251" s="43">
        <f t="shared" si="101"/>
        <v>26187.432999999997</v>
      </c>
      <c r="AE251" s="43">
        <v>28640.5</v>
      </c>
      <c r="AF251" s="43"/>
      <c r="AG251" s="43"/>
      <c r="AH251" s="42">
        <f t="shared" si="102"/>
        <v>28640.5</v>
      </c>
      <c r="AI251" s="41">
        <v>26502.6</v>
      </c>
      <c r="AJ251" s="40">
        <v>28187.599999999999</v>
      </c>
      <c r="AK251" s="49">
        <f>28445.8-4000</f>
        <v>24445.8</v>
      </c>
      <c r="AL251" s="39">
        <f t="shared" si="79"/>
        <v>24445.8</v>
      </c>
      <c r="AM251" s="49"/>
      <c r="AN251" s="49">
        <f t="shared" si="80"/>
        <v>24445.8</v>
      </c>
    </row>
    <row r="252" spans="1:40" s="18" customFormat="1" ht="13.2" hidden="1" x14ac:dyDescent="0.25">
      <c r="A252" s="46">
        <v>67320</v>
      </c>
      <c r="B252" s="45" t="s">
        <v>53</v>
      </c>
      <c r="C252" s="43">
        <v>344585.6</v>
      </c>
      <c r="D252" s="43">
        <f t="shared" si="93"/>
        <v>28715.466666666664</v>
      </c>
      <c r="E252" s="43">
        <v>27529.7</v>
      </c>
      <c r="F252" s="43">
        <v>30525.8</v>
      </c>
      <c r="G252" s="43">
        <f t="shared" si="94"/>
        <v>80288.444799999997</v>
      </c>
      <c r="H252" s="44">
        <f t="shared" si="95"/>
        <v>0.31992995514825112</v>
      </c>
      <c r="I252" s="43">
        <v>20472.8</v>
      </c>
      <c r="J252" s="43"/>
      <c r="K252" s="43"/>
      <c r="L252" s="43">
        <f>SUM(I252:K252)+8545.1</f>
        <v>29017.9</v>
      </c>
      <c r="M252" s="43">
        <v>27689.1</v>
      </c>
      <c r="N252" s="43">
        <f t="shared" si="97"/>
        <v>-1328.8000000000029</v>
      </c>
      <c r="O252" s="43">
        <f t="shared" si="98"/>
        <v>95.420757532419628</v>
      </c>
      <c r="P252" s="43">
        <v>90995.599999999991</v>
      </c>
      <c r="Q252" s="44">
        <f t="shared" si="99"/>
        <v>0.37126468097941628</v>
      </c>
      <c r="R252" s="43">
        <f>6201897*Q252/100+5000</f>
        <v>28025.453111721989</v>
      </c>
      <c r="S252" s="43"/>
      <c r="T252" s="43"/>
      <c r="U252" s="43"/>
      <c r="V252" s="43"/>
      <c r="W252" s="43"/>
      <c r="X252" s="43">
        <f t="shared" si="100"/>
        <v>28025.453111721989</v>
      </c>
      <c r="Y252" s="43">
        <v>23037.901000000002</v>
      </c>
      <c r="Z252" s="43">
        <f>Y252</f>
        <v>23037.901000000002</v>
      </c>
      <c r="AA252" s="43">
        <v>7218</v>
      </c>
      <c r="AB252" s="43"/>
      <c r="AC252" s="43"/>
      <c r="AD252" s="43">
        <f t="shared" si="101"/>
        <v>30255.901000000002</v>
      </c>
      <c r="AE252" s="43">
        <v>27889.7</v>
      </c>
      <c r="AF252" s="43"/>
      <c r="AG252" s="43"/>
      <c r="AH252" s="42">
        <f t="shared" si="102"/>
        <v>27889.7</v>
      </c>
      <c r="AI252" s="41">
        <f>28497.5+30000</f>
        <v>58497.5</v>
      </c>
      <c r="AJ252" s="40">
        <v>50497.5</v>
      </c>
      <c r="AK252" s="49">
        <f>44361.5-7000-10000</f>
        <v>27361.5</v>
      </c>
      <c r="AL252" s="39">
        <f t="shared" si="79"/>
        <v>27361.5</v>
      </c>
      <c r="AM252" s="49"/>
      <c r="AN252" s="49">
        <f t="shared" si="80"/>
        <v>27361.5</v>
      </c>
    </row>
    <row r="253" spans="1:40" s="18" customFormat="1" ht="20.399999999999999" x14ac:dyDescent="0.25">
      <c r="A253" s="46">
        <v>68120</v>
      </c>
      <c r="B253" s="45" t="s">
        <v>52</v>
      </c>
      <c r="C253" s="43">
        <v>1044.8</v>
      </c>
      <c r="D253" s="43">
        <f t="shared" si="93"/>
        <v>87.066666666666663</v>
      </c>
      <c r="E253" s="43">
        <v>146.4</v>
      </c>
      <c r="F253" s="43">
        <v>125</v>
      </c>
      <c r="G253" s="43">
        <f t="shared" si="94"/>
        <v>243.4384</v>
      </c>
      <c r="H253" s="44">
        <f t="shared" si="95"/>
        <v>1.4956203947470155E-3</v>
      </c>
      <c r="I253" s="43">
        <v>177.6</v>
      </c>
      <c r="J253" s="43"/>
      <c r="K253" s="43"/>
      <c r="L253" s="43">
        <f t="shared" ref="L253:L278" si="103">SUM(I253:K253)</f>
        <v>177.6</v>
      </c>
      <c r="M253" s="43">
        <v>177.6</v>
      </c>
      <c r="N253" s="43">
        <f t="shared" si="97"/>
        <v>0</v>
      </c>
      <c r="O253" s="43">
        <f t="shared" si="98"/>
        <v>100</v>
      </c>
      <c r="P253" s="43">
        <v>264.39999999999998</v>
      </c>
      <c r="Q253" s="44">
        <f t="shared" si="99"/>
        <v>1.0787596504771403E-3</v>
      </c>
      <c r="R253" s="43">
        <f>6201897*Q253/100+80</f>
        <v>146.90356240015225</v>
      </c>
      <c r="S253" s="43"/>
      <c r="T253" s="43"/>
      <c r="U253" s="43"/>
      <c r="V253" s="43"/>
      <c r="W253" s="43"/>
      <c r="X253" s="43">
        <f t="shared" si="100"/>
        <v>146.90356240015225</v>
      </c>
      <c r="Y253" s="43">
        <v>5.1999999999999993</v>
      </c>
      <c r="Z253" s="43">
        <f>D253</f>
        <v>87.066666666666663</v>
      </c>
      <c r="AA253" s="43"/>
      <c r="AB253" s="43"/>
      <c r="AC253" s="43"/>
      <c r="AD253" s="43">
        <f t="shared" si="101"/>
        <v>87.066666666666663</v>
      </c>
      <c r="AE253" s="43">
        <v>229.1</v>
      </c>
      <c r="AF253" s="43"/>
      <c r="AG253" s="43"/>
      <c r="AH253" s="42">
        <f t="shared" si="102"/>
        <v>229.1</v>
      </c>
      <c r="AI253" s="41">
        <v>87</v>
      </c>
      <c r="AJ253" s="40">
        <v>77</v>
      </c>
      <c r="AK253" s="49">
        <v>0</v>
      </c>
      <c r="AL253" s="39">
        <f t="shared" si="79"/>
        <v>0</v>
      </c>
      <c r="AM253" s="49"/>
      <c r="AN253" s="49">
        <f t="shared" si="80"/>
        <v>0</v>
      </c>
    </row>
    <row r="254" spans="1:40" s="18" customFormat="1" ht="13.5" hidden="1" customHeight="1" x14ac:dyDescent="0.25">
      <c r="A254" s="46">
        <v>69110</v>
      </c>
      <c r="B254" s="45" t="s">
        <v>51</v>
      </c>
      <c r="C254" s="43">
        <v>105225.4</v>
      </c>
      <c r="D254" s="43">
        <f t="shared" si="93"/>
        <v>8768.7833333333328</v>
      </c>
      <c r="E254" s="43">
        <v>8627.9</v>
      </c>
      <c r="F254" s="43">
        <v>8737.2999999999993</v>
      </c>
      <c r="G254" s="43">
        <f t="shared" si="94"/>
        <v>24517.518199999999</v>
      </c>
      <c r="H254" s="44">
        <f t="shared" si="95"/>
        <v>9.5695457917689269E-2</v>
      </c>
      <c r="I254" s="43">
        <v>7614.5</v>
      </c>
      <c r="J254" s="43"/>
      <c r="K254" s="43"/>
      <c r="L254" s="43">
        <f t="shared" si="103"/>
        <v>7614.5</v>
      </c>
      <c r="M254" s="43">
        <v>7614.5</v>
      </c>
      <c r="N254" s="43">
        <f t="shared" si="97"/>
        <v>0</v>
      </c>
      <c r="O254" s="43">
        <f t="shared" si="98"/>
        <v>100</v>
      </c>
      <c r="P254" s="43">
        <v>27328.3</v>
      </c>
      <c r="Q254" s="44">
        <f t="shared" si="99"/>
        <v>0.11150025475088668</v>
      </c>
      <c r="R254" s="43">
        <f>6201897*Q254/100+1000</f>
        <v>7915.1309543875986</v>
      </c>
      <c r="S254" s="43">
        <v>1194.3</v>
      </c>
      <c r="T254" s="43"/>
      <c r="U254" s="43"/>
      <c r="V254" s="43"/>
      <c r="W254" s="43"/>
      <c r="X254" s="43">
        <f t="shared" si="100"/>
        <v>9109.4309543875988</v>
      </c>
      <c r="Y254" s="43">
        <v>8985.2669999999998</v>
      </c>
      <c r="Z254" s="43">
        <f t="shared" ref="Z254:Z273" si="104">Y254</f>
        <v>8985.2669999999998</v>
      </c>
      <c r="AA254" s="43"/>
      <c r="AB254" s="43"/>
      <c r="AC254" s="43"/>
      <c r="AD254" s="43">
        <f t="shared" si="101"/>
        <v>8985.2669999999998</v>
      </c>
      <c r="AE254" s="43">
        <v>8985.2999999999993</v>
      </c>
      <c r="AF254" s="43"/>
      <c r="AG254" s="43">
        <v>248.3</v>
      </c>
      <c r="AH254" s="42">
        <f t="shared" si="102"/>
        <v>9233.5999999999985</v>
      </c>
      <c r="AI254" s="41">
        <v>8337.9</v>
      </c>
      <c r="AJ254" s="40">
        <v>8840.1999999999989</v>
      </c>
      <c r="AK254" s="49">
        <v>8558.4</v>
      </c>
      <c r="AL254" s="39">
        <f t="shared" si="79"/>
        <v>8558.4</v>
      </c>
      <c r="AM254" s="49"/>
      <c r="AN254" s="49">
        <f t="shared" si="80"/>
        <v>8558.4</v>
      </c>
    </row>
    <row r="255" spans="1:40" s="18" customFormat="1" ht="20.399999999999999" hidden="1" x14ac:dyDescent="0.25">
      <c r="A255" s="46">
        <v>69120</v>
      </c>
      <c r="B255" s="45" t="s">
        <v>50</v>
      </c>
      <c r="C255" s="43">
        <f>1691725.2+6502.6+4441.6</f>
        <v>1702669.4000000001</v>
      </c>
      <c r="D255" s="43">
        <f t="shared" si="93"/>
        <v>141889.11666666667</v>
      </c>
      <c r="E255" s="43">
        <v>128593</v>
      </c>
      <c r="F255" s="43">
        <v>126130.6</v>
      </c>
      <c r="G255" s="43">
        <f t="shared" si="94"/>
        <v>396721.97020000004</v>
      </c>
      <c r="H255" s="44">
        <f t="shared" si="95"/>
        <v>1.4037207486491559</v>
      </c>
      <c r="I255" s="43">
        <v>130175.4</v>
      </c>
      <c r="J255" s="43">
        <v>20894</v>
      </c>
      <c r="K255" s="43"/>
      <c r="L255" s="43">
        <f t="shared" si="103"/>
        <v>151069.4</v>
      </c>
      <c r="M255" s="43">
        <v>149221.1</v>
      </c>
      <c r="N255" s="43">
        <f t="shared" si="97"/>
        <v>-1848.2999999999884</v>
      </c>
      <c r="O255" s="43">
        <f t="shared" si="98"/>
        <v>98.776522578364663</v>
      </c>
      <c r="P255" s="43">
        <v>440588.5</v>
      </c>
      <c r="Q255" s="44">
        <f t="shared" si="99"/>
        <v>1.7976138285334626</v>
      </c>
      <c r="R255" s="43">
        <f>6201897*Q255/100+15000</f>
        <v>126486.15810340196</v>
      </c>
      <c r="S255" s="43">
        <v>28048.400000000001</v>
      </c>
      <c r="T255" s="43"/>
      <c r="U255" s="43"/>
      <c r="V255" s="43"/>
      <c r="W255" s="43"/>
      <c r="X255" s="43">
        <f t="shared" si="100"/>
        <v>154534.55810340197</v>
      </c>
      <c r="Y255" s="43">
        <v>123881.466</v>
      </c>
      <c r="Z255" s="43">
        <f t="shared" si="104"/>
        <v>123881.466</v>
      </c>
      <c r="AA255" s="43">
        <v>17333.900000000001</v>
      </c>
      <c r="AB255" s="43"/>
      <c r="AC255" s="43"/>
      <c r="AD255" s="43">
        <f t="shared" si="101"/>
        <v>141215.36600000001</v>
      </c>
      <c r="AE255" s="43">
        <v>147541.4</v>
      </c>
      <c r="AF255" s="43"/>
      <c r="AG255" s="43">
        <v>-248.3</v>
      </c>
      <c r="AH255" s="42">
        <f t="shared" si="102"/>
        <v>147293.1</v>
      </c>
      <c r="AI255" s="41">
        <f>140818.5+1000</f>
        <v>141818.5</v>
      </c>
      <c r="AJ255" s="40">
        <v>168009.1</v>
      </c>
      <c r="AK255" s="49">
        <f>280537-149051.6+12650-20000</f>
        <v>124135.4</v>
      </c>
      <c r="AL255" s="39">
        <f t="shared" si="79"/>
        <v>124135.4</v>
      </c>
      <c r="AM255" s="49"/>
      <c r="AN255" s="49">
        <f t="shared" si="80"/>
        <v>124135.4</v>
      </c>
    </row>
    <row r="256" spans="1:40" s="18" customFormat="1" ht="20.399999999999999" x14ac:dyDescent="0.25">
      <c r="A256" s="46">
        <v>70120</v>
      </c>
      <c r="B256" s="45" t="s">
        <v>49</v>
      </c>
      <c r="C256" s="43">
        <v>15040.9</v>
      </c>
      <c r="D256" s="43">
        <f t="shared" si="93"/>
        <v>1253.4083333333333</v>
      </c>
      <c r="E256" s="43">
        <v>1193</v>
      </c>
      <c r="F256" s="43">
        <v>1151.8</v>
      </c>
      <c r="G256" s="43">
        <f t="shared" si="94"/>
        <v>3504.5297000000005</v>
      </c>
      <c r="H256" s="44">
        <f t="shared" si="95"/>
        <v>1.2921631177607968E-2</v>
      </c>
      <c r="I256" s="43">
        <v>999.5</v>
      </c>
      <c r="J256" s="43"/>
      <c r="K256" s="43"/>
      <c r="L256" s="43">
        <f t="shared" si="103"/>
        <v>999.5</v>
      </c>
      <c r="M256" s="43">
        <v>997.7</v>
      </c>
      <c r="N256" s="43">
        <f t="shared" si="97"/>
        <v>-1.7999999999999545</v>
      </c>
      <c r="O256" s="43">
        <f t="shared" si="98"/>
        <v>99.81990995497749</v>
      </c>
      <c r="P256" s="43">
        <v>4066.5999999999995</v>
      </c>
      <c r="Q256" s="44">
        <f t="shared" si="99"/>
        <v>1.6591845668042126E-2</v>
      </c>
      <c r="R256" s="43">
        <f>6201897*Q256/100</f>
        <v>1029.0091787309345</v>
      </c>
      <c r="S256" s="43"/>
      <c r="T256" s="43"/>
      <c r="U256" s="43"/>
      <c r="V256" s="43"/>
      <c r="W256" s="43"/>
      <c r="X256" s="43">
        <f t="shared" si="100"/>
        <v>1029.0091787309345</v>
      </c>
      <c r="Y256" s="43">
        <v>1113.1329999999998</v>
      </c>
      <c r="Z256" s="43">
        <f t="shared" si="104"/>
        <v>1113.1329999999998</v>
      </c>
      <c r="AA256" s="43"/>
      <c r="AB256" s="43"/>
      <c r="AC256" s="43"/>
      <c r="AD256" s="43">
        <f t="shared" si="101"/>
        <v>1113.1329999999998</v>
      </c>
      <c r="AE256" s="43">
        <v>1217.9000000000001</v>
      </c>
      <c r="AF256" s="43"/>
      <c r="AG256" s="43"/>
      <c r="AH256" s="42">
        <f t="shared" si="102"/>
        <v>1217.9000000000001</v>
      </c>
      <c r="AI256" s="41">
        <v>1281.5</v>
      </c>
      <c r="AJ256" s="40">
        <v>1420.4</v>
      </c>
      <c r="AK256" s="49">
        <f>1726.1-500</f>
        <v>1226.0999999999999</v>
      </c>
      <c r="AL256" s="39">
        <f t="shared" si="79"/>
        <v>1226.0999999999999</v>
      </c>
      <c r="AM256" s="49"/>
      <c r="AN256" s="49">
        <f t="shared" si="80"/>
        <v>1226.0999999999999</v>
      </c>
    </row>
    <row r="257" spans="1:40" s="18" customFormat="1" ht="20.399999999999999" x14ac:dyDescent="0.25">
      <c r="A257" s="46">
        <v>71110</v>
      </c>
      <c r="B257" s="45" t="s">
        <v>48</v>
      </c>
      <c r="C257" s="43">
        <v>27197.1</v>
      </c>
      <c r="D257" s="43">
        <f t="shared" si="93"/>
        <v>2266.4249999999997</v>
      </c>
      <c r="E257" s="43">
        <v>2879.3</v>
      </c>
      <c r="F257" s="43">
        <v>1445.2</v>
      </c>
      <c r="G257" s="43">
        <f t="shared" si="94"/>
        <v>6336.9242999999997</v>
      </c>
      <c r="H257" s="44">
        <f t="shared" si="95"/>
        <v>2.3831283703328918E-2</v>
      </c>
      <c r="I257" s="43">
        <v>2524.5</v>
      </c>
      <c r="J257" s="43"/>
      <c r="K257" s="43"/>
      <c r="L257" s="43">
        <f t="shared" si="103"/>
        <v>2524.5</v>
      </c>
      <c r="M257" s="43">
        <v>2524.1999999999998</v>
      </c>
      <c r="N257" s="43">
        <f t="shared" si="97"/>
        <v>-0.3000000000001819</v>
      </c>
      <c r="O257" s="43">
        <f t="shared" si="98"/>
        <v>99.988116458704695</v>
      </c>
      <c r="P257" s="43">
        <v>6811.9</v>
      </c>
      <c r="Q257" s="44">
        <f t="shared" si="99"/>
        <v>2.7792749103953227E-2</v>
      </c>
      <c r="R257" s="43">
        <f>6201897*Q257/100+300</f>
        <v>2023.677672895602</v>
      </c>
      <c r="S257" s="43"/>
      <c r="T257" s="43"/>
      <c r="U257" s="43"/>
      <c r="V257" s="43"/>
      <c r="W257" s="43"/>
      <c r="X257" s="43">
        <f t="shared" si="100"/>
        <v>2023.677672895602</v>
      </c>
      <c r="Y257" s="43">
        <v>1114.866</v>
      </c>
      <c r="Z257" s="43">
        <f t="shared" si="104"/>
        <v>1114.866</v>
      </c>
      <c r="AA257" s="43"/>
      <c r="AB257" s="43"/>
      <c r="AC257" s="43"/>
      <c r="AD257" s="43">
        <f t="shared" si="101"/>
        <v>1114.866</v>
      </c>
      <c r="AE257" s="43">
        <v>1644.1</v>
      </c>
      <c r="AF257" s="43"/>
      <c r="AG257" s="43"/>
      <c r="AH257" s="42">
        <f t="shared" si="102"/>
        <v>1644.1</v>
      </c>
      <c r="AI257" s="41">
        <v>1644.1</v>
      </c>
      <c r="AJ257" s="40">
        <v>2896.3</v>
      </c>
      <c r="AK257" s="49">
        <f>4641.6-2000-1000</f>
        <v>1641.6000000000004</v>
      </c>
      <c r="AL257" s="39">
        <f t="shared" si="79"/>
        <v>1641.6000000000004</v>
      </c>
      <c r="AM257" s="49"/>
      <c r="AN257" s="49">
        <f t="shared" si="80"/>
        <v>1641.6000000000004</v>
      </c>
    </row>
    <row r="258" spans="1:40" s="18" customFormat="1" ht="20.399999999999999" x14ac:dyDescent="0.25">
      <c r="A258" s="46">
        <v>72110</v>
      </c>
      <c r="B258" s="45" t="s">
        <v>47</v>
      </c>
      <c r="C258" s="43">
        <v>25090.2</v>
      </c>
      <c r="D258" s="43">
        <f t="shared" si="93"/>
        <v>2090.85</v>
      </c>
      <c r="E258" s="43">
        <v>2029.2</v>
      </c>
      <c r="F258" s="43">
        <v>1663.1</v>
      </c>
      <c r="G258" s="43">
        <f t="shared" si="94"/>
        <v>5846.0165999999999</v>
      </c>
      <c r="H258" s="44">
        <f t="shared" si="95"/>
        <v>2.0347380926766415E-2</v>
      </c>
      <c r="I258" s="43">
        <v>2234.6999999999998</v>
      </c>
      <c r="J258" s="43"/>
      <c r="K258" s="43"/>
      <c r="L258" s="43">
        <f t="shared" si="103"/>
        <v>2234.6999999999998</v>
      </c>
      <c r="M258" s="43">
        <v>1547.4</v>
      </c>
      <c r="N258" s="43">
        <f t="shared" si="97"/>
        <v>-687.29999999999973</v>
      </c>
      <c r="O258" s="43">
        <f t="shared" si="98"/>
        <v>69.244193851523704</v>
      </c>
      <c r="P258" s="43">
        <v>6675.2999999999993</v>
      </c>
      <c r="Q258" s="44">
        <f t="shared" si="99"/>
        <v>2.7235417151399599E-2</v>
      </c>
      <c r="R258" s="43">
        <f>6201897*Q258/100</f>
        <v>1689.1125192501372</v>
      </c>
      <c r="S258" s="43"/>
      <c r="T258" s="43"/>
      <c r="U258" s="43"/>
      <c r="V258" s="43"/>
      <c r="W258" s="43"/>
      <c r="X258" s="43">
        <f t="shared" si="100"/>
        <v>1689.1125192501372</v>
      </c>
      <c r="Y258" s="43">
        <v>1828.5340000000001</v>
      </c>
      <c r="Z258" s="43">
        <f t="shared" si="104"/>
        <v>1828.5340000000001</v>
      </c>
      <c r="AA258" s="43"/>
      <c r="AB258" s="43"/>
      <c r="AC258" s="43"/>
      <c r="AD258" s="43">
        <f t="shared" si="101"/>
        <v>1828.5340000000001</v>
      </c>
      <c r="AE258" s="43">
        <f>4049.8-2000</f>
        <v>2049.8000000000002</v>
      </c>
      <c r="AF258" s="43"/>
      <c r="AG258" s="43"/>
      <c r="AH258" s="42">
        <f t="shared" si="102"/>
        <v>2049.8000000000002</v>
      </c>
      <c r="AI258" s="41">
        <v>2080.9</v>
      </c>
      <c r="AJ258" s="40">
        <v>2080.9</v>
      </c>
      <c r="AK258" s="49">
        <f>4629.3-2000-1000</f>
        <v>1629.3000000000002</v>
      </c>
      <c r="AL258" s="39">
        <f t="shared" ref="AL258:AL280" si="105">AK258</f>
        <v>1629.3000000000002</v>
      </c>
      <c r="AM258" s="49"/>
      <c r="AN258" s="49">
        <f t="shared" ref="AN258:AN280" si="106">AK258+AM258</f>
        <v>1629.3000000000002</v>
      </c>
    </row>
    <row r="259" spans="1:40" s="18" customFormat="1" ht="20.399999999999999" x14ac:dyDescent="0.25">
      <c r="A259" s="46">
        <v>72120</v>
      </c>
      <c r="B259" s="45" t="s">
        <v>46</v>
      </c>
      <c r="C259" s="43">
        <v>15149.3</v>
      </c>
      <c r="D259" s="43">
        <f t="shared" si="93"/>
        <v>1262.4416666666666</v>
      </c>
      <c r="E259" s="43">
        <v>1214.5</v>
      </c>
      <c r="F259" s="43">
        <v>1195.4000000000001</v>
      </c>
      <c r="G259" s="43">
        <f t="shared" si="94"/>
        <v>3529.7869000000001</v>
      </c>
      <c r="H259" s="44">
        <f t="shared" si="95"/>
        <v>1.3280381684969906E-2</v>
      </c>
      <c r="I259" s="43">
        <v>1226.0999999999999</v>
      </c>
      <c r="J259" s="43"/>
      <c r="K259" s="43"/>
      <c r="L259" s="43">
        <f t="shared" si="103"/>
        <v>1226.0999999999999</v>
      </c>
      <c r="M259" s="43">
        <v>1169.7</v>
      </c>
      <c r="N259" s="43">
        <f t="shared" si="97"/>
        <v>-56.399999999999864</v>
      </c>
      <c r="O259" s="43">
        <f t="shared" si="98"/>
        <v>95.400048935649622</v>
      </c>
      <c r="P259" s="43">
        <v>4013.7</v>
      </c>
      <c r="Q259" s="44">
        <f t="shared" si="99"/>
        <v>1.6376012137367994E-2</v>
      </c>
      <c r="R259" s="43">
        <f>6201897*Q259/100+200</f>
        <v>1215.6234054670615</v>
      </c>
      <c r="S259" s="43"/>
      <c r="T259" s="43"/>
      <c r="U259" s="43"/>
      <c r="V259" s="43"/>
      <c r="W259" s="43"/>
      <c r="X259" s="43">
        <f t="shared" si="100"/>
        <v>1215.6234054670615</v>
      </c>
      <c r="Y259" s="43">
        <v>1098.0990000000002</v>
      </c>
      <c r="Z259" s="43">
        <f t="shared" si="104"/>
        <v>1098.0990000000002</v>
      </c>
      <c r="AA259" s="43"/>
      <c r="AB259" s="43"/>
      <c r="AC259" s="43"/>
      <c r="AD259" s="43">
        <f t="shared" si="101"/>
        <v>1098.0990000000002</v>
      </c>
      <c r="AE259" s="43">
        <f>2210.5-800</f>
        <v>1410.5</v>
      </c>
      <c r="AF259" s="43"/>
      <c r="AG259" s="43"/>
      <c r="AH259" s="42">
        <f t="shared" si="102"/>
        <v>1410.5</v>
      </c>
      <c r="AI259" s="41">
        <v>1284.5999999999999</v>
      </c>
      <c r="AJ259" s="40">
        <v>1284.5999999999999</v>
      </c>
      <c r="AK259" s="49">
        <f>2184.6-1000</f>
        <v>1184.5999999999999</v>
      </c>
      <c r="AL259" s="39">
        <f t="shared" si="105"/>
        <v>1184.5999999999999</v>
      </c>
      <c r="AM259" s="49"/>
      <c r="AN259" s="49">
        <f t="shared" si="106"/>
        <v>1184.5999999999999</v>
      </c>
    </row>
    <row r="260" spans="1:40" s="18" customFormat="1" ht="20.399999999999999" x14ac:dyDescent="0.25">
      <c r="A260" s="46">
        <v>73110</v>
      </c>
      <c r="B260" s="45" t="s">
        <v>45</v>
      </c>
      <c r="C260" s="43">
        <v>37772.6</v>
      </c>
      <c r="D260" s="43">
        <f t="shared" si="93"/>
        <v>3147.7166666666667</v>
      </c>
      <c r="E260" s="43">
        <v>2588.1999999999998</v>
      </c>
      <c r="F260" s="43">
        <v>12598.7</v>
      </c>
      <c r="G260" s="43">
        <f t="shared" si="94"/>
        <v>8801.0157999999992</v>
      </c>
      <c r="H260" s="44">
        <f t="shared" si="95"/>
        <v>8.3691368360292756E-2</v>
      </c>
      <c r="I260" s="43">
        <v>2145.5</v>
      </c>
      <c r="J260" s="43"/>
      <c r="K260" s="43"/>
      <c r="L260" s="43">
        <f t="shared" si="103"/>
        <v>2145.5</v>
      </c>
      <c r="M260" s="43">
        <v>2031.6</v>
      </c>
      <c r="N260" s="43">
        <f t="shared" si="97"/>
        <v>-113.90000000000009</v>
      </c>
      <c r="O260" s="43">
        <f t="shared" si="98"/>
        <v>94.691214169191326</v>
      </c>
      <c r="P260" s="43">
        <v>7414.3999999999978</v>
      </c>
      <c r="Q260" s="44">
        <f t="shared" si="99"/>
        <v>3.0250966537434597E-2</v>
      </c>
      <c r="R260" s="43">
        <f>6201897*Q260/100+200</f>
        <v>2076.1337861561601</v>
      </c>
      <c r="S260" s="43"/>
      <c r="T260" s="43"/>
      <c r="U260" s="43"/>
      <c r="V260" s="43"/>
      <c r="W260" s="43"/>
      <c r="X260" s="43">
        <f t="shared" si="100"/>
        <v>2076.1337861561601</v>
      </c>
      <c r="Y260" s="43">
        <v>1588.1670000000001</v>
      </c>
      <c r="Z260" s="43">
        <f t="shared" si="104"/>
        <v>1588.1670000000001</v>
      </c>
      <c r="AA260" s="43">
        <v>4100</v>
      </c>
      <c r="AB260" s="43"/>
      <c r="AC260" s="43"/>
      <c r="AD260" s="43">
        <f t="shared" si="101"/>
        <v>5688.1670000000004</v>
      </c>
      <c r="AE260" s="43">
        <f>3447.7-1000</f>
        <v>2447.6999999999998</v>
      </c>
      <c r="AF260" s="43"/>
      <c r="AG260" s="43"/>
      <c r="AH260" s="42">
        <f t="shared" si="102"/>
        <v>2447.6999999999998</v>
      </c>
      <c r="AI260" s="41">
        <v>2447.4</v>
      </c>
      <c r="AJ260" s="40">
        <v>1972.3</v>
      </c>
      <c r="AK260" s="49">
        <f>7504-5000-500</f>
        <v>2004</v>
      </c>
      <c r="AL260" s="39">
        <f t="shared" si="105"/>
        <v>2004</v>
      </c>
      <c r="AM260" s="49"/>
      <c r="AN260" s="49">
        <f t="shared" si="106"/>
        <v>2004</v>
      </c>
    </row>
    <row r="261" spans="1:40" s="18" customFormat="1" ht="20.399999999999999" x14ac:dyDescent="0.25">
      <c r="A261" s="46">
        <v>73131</v>
      </c>
      <c r="B261" s="45" t="s">
        <v>44</v>
      </c>
      <c r="C261" s="43">
        <v>20000</v>
      </c>
      <c r="D261" s="43">
        <f t="shared" si="93"/>
        <v>1666.6666666666667</v>
      </c>
      <c r="E261" s="43"/>
      <c r="F261" s="43"/>
      <c r="G261" s="43">
        <f t="shared" si="94"/>
        <v>4660</v>
      </c>
      <c r="H261" s="44">
        <f t="shared" si="95"/>
        <v>0</v>
      </c>
      <c r="I261" s="43">
        <f>7990664.7*H261/100+1666.7</f>
        <v>1666.7</v>
      </c>
      <c r="J261" s="43"/>
      <c r="K261" s="43"/>
      <c r="L261" s="43">
        <f t="shared" si="103"/>
        <v>1666.7</v>
      </c>
      <c r="M261" s="47"/>
      <c r="N261" s="43">
        <f t="shared" si="97"/>
        <v>-1666.7</v>
      </c>
      <c r="O261" s="43">
        <f t="shared" si="98"/>
        <v>0</v>
      </c>
      <c r="P261" s="44"/>
      <c r="Q261" s="44">
        <f t="shared" si="99"/>
        <v>0</v>
      </c>
      <c r="R261" s="43">
        <f>6201897*Q261/100</f>
        <v>0</v>
      </c>
      <c r="S261" s="43"/>
      <c r="T261" s="43"/>
      <c r="U261" s="43"/>
      <c r="V261" s="43"/>
      <c r="W261" s="43"/>
      <c r="X261" s="43">
        <f t="shared" si="100"/>
        <v>0</v>
      </c>
      <c r="Y261" s="43"/>
      <c r="Z261" s="43">
        <f t="shared" si="104"/>
        <v>0</v>
      </c>
      <c r="AA261" s="43"/>
      <c r="AB261" s="43"/>
      <c r="AC261" s="43"/>
      <c r="AD261" s="43">
        <f t="shared" si="101"/>
        <v>0</v>
      </c>
      <c r="AE261" s="43"/>
      <c r="AF261" s="43"/>
      <c r="AG261" s="43"/>
      <c r="AH261" s="42">
        <f t="shared" si="102"/>
        <v>0</v>
      </c>
      <c r="AI261" s="41">
        <v>2843.1</v>
      </c>
      <c r="AJ261" s="40">
        <v>2843.1</v>
      </c>
      <c r="AK261" s="49">
        <f>14529.4-12000</f>
        <v>2529.3999999999996</v>
      </c>
      <c r="AL261" s="39">
        <f t="shared" si="105"/>
        <v>2529.3999999999996</v>
      </c>
      <c r="AM261" s="49"/>
      <c r="AN261" s="49">
        <f t="shared" si="106"/>
        <v>2529.3999999999996</v>
      </c>
    </row>
    <row r="262" spans="1:40" s="18" customFormat="1" ht="20.399999999999999" x14ac:dyDescent="0.25">
      <c r="A262" s="46">
        <v>73221</v>
      </c>
      <c r="B262" s="45" t="s">
        <v>43</v>
      </c>
      <c r="C262" s="43">
        <v>6955.3</v>
      </c>
      <c r="D262" s="43">
        <f t="shared" si="93"/>
        <v>579.60833333333335</v>
      </c>
      <c r="E262" s="43"/>
      <c r="F262" s="43"/>
      <c r="G262" s="43">
        <f t="shared" si="94"/>
        <v>1620.5849000000003</v>
      </c>
      <c r="H262" s="44">
        <f t="shared" si="95"/>
        <v>0</v>
      </c>
      <c r="I262" s="43">
        <f>7990664.7*H262/100+579.6</f>
        <v>579.6</v>
      </c>
      <c r="J262" s="43"/>
      <c r="K262" s="43">
        <v>554.9</v>
      </c>
      <c r="L262" s="43">
        <f t="shared" si="103"/>
        <v>1134.5</v>
      </c>
      <c r="M262" s="43">
        <v>1134.5</v>
      </c>
      <c r="N262" s="43">
        <f t="shared" si="97"/>
        <v>0</v>
      </c>
      <c r="O262" s="43">
        <f t="shared" si="98"/>
        <v>100</v>
      </c>
      <c r="P262" s="43">
        <v>1977.6999999999998</v>
      </c>
      <c r="Q262" s="44">
        <f t="shared" si="99"/>
        <v>8.0690732252217852E-3</v>
      </c>
      <c r="R262" s="43">
        <f>6201897*Q262/100</f>
        <v>500.43561028283312</v>
      </c>
      <c r="S262" s="43"/>
      <c r="T262" s="43"/>
      <c r="U262" s="43"/>
      <c r="V262" s="43"/>
      <c r="W262" s="43"/>
      <c r="X262" s="43">
        <f t="shared" si="100"/>
        <v>500.43561028283312</v>
      </c>
      <c r="Y262" s="43">
        <v>241.06699999999998</v>
      </c>
      <c r="Z262" s="43">
        <f t="shared" si="104"/>
        <v>241.06699999999998</v>
      </c>
      <c r="AA262" s="43"/>
      <c r="AB262" s="43"/>
      <c r="AC262" s="43">
        <v>80</v>
      </c>
      <c r="AD262" s="43">
        <f t="shared" si="101"/>
        <v>321.06700000000001</v>
      </c>
      <c r="AE262" s="43">
        <v>175.7</v>
      </c>
      <c r="AF262" s="43">
        <v>375</v>
      </c>
      <c r="AG262" s="43"/>
      <c r="AH262" s="42">
        <f t="shared" si="102"/>
        <v>550.70000000000005</v>
      </c>
      <c r="AI262" s="41">
        <v>775.8</v>
      </c>
      <c r="AJ262" s="40">
        <v>1895.3</v>
      </c>
      <c r="AK262" s="49">
        <v>229.4</v>
      </c>
      <c r="AL262" s="39">
        <f t="shared" si="105"/>
        <v>229.4</v>
      </c>
      <c r="AM262" s="49"/>
      <c r="AN262" s="49">
        <f t="shared" si="106"/>
        <v>229.4</v>
      </c>
    </row>
    <row r="263" spans="1:40" s="18" customFormat="1" ht="12.75" customHeight="1" x14ac:dyDescent="0.25">
      <c r="A263" s="46">
        <v>74110</v>
      </c>
      <c r="B263" s="45" t="s">
        <v>42</v>
      </c>
      <c r="C263" s="43">
        <v>29001.200000000001</v>
      </c>
      <c r="D263" s="43">
        <f t="shared" si="93"/>
        <v>2416.7666666666669</v>
      </c>
      <c r="E263" s="43">
        <v>2434.5</v>
      </c>
      <c r="F263" s="43">
        <v>2336.1</v>
      </c>
      <c r="G263" s="43">
        <f t="shared" si="94"/>
        <v>6757.2796000000008</v>
      </c>
      <c r="H263" s="44">
        <f t="shared" si="95"/>
        <v>2.6289633954237706E-2</v>
      </c>
      <c r="I263" s="43">
        <v>1960.4</v>
      </c>
      <c r="J263" s="43"/>
      <c r="K263" s="43"/>
      <c r="L263" s="43">
        <f t="shared" si="103"/>
        <v>1960.4</v>
      </c>
      <c r="M263" s="43">
        <v>1960.4</v>
      </c>
      <c r="N263" s="43">
        <f t="shared" si="97"/>
        <v>0</v>
      </c>
      <c r="O263" s="43">
        <f t="shared" si="98"/>
        <v>100</v>
      </c>
      <c r="P263" s="43">
        <v>7587.7000000000007</v>
      </c>
      <c r="Q263" s="44">
        <f t="shared" si="99"/>
        <v>3.0958035551911491E-2</v>
      </c>
      <c r="R263" s="43">
        <f>6201897*Q263/100</f>
        <v>1919.9854781529323</v>
      </c>
      <c r="S263" s="43"/>
      <c r="T263" s="43"/>
      <c r="U263" s="43"/>
      <c r="V263" s="43"/>
      <c r="W263" s="43"/>
      <c r="X263" s="43">
        <f t="shared" si="100"/>
        <v>1919.9854781529323</v>
      </c>
      <c r="Y263" s="43">
        <v>2370.5670000000005</v>
      </c>
      <c r="Z263" s="43">
        <f t="shared" si="104"/>
        <v>2370.5670000000005</v>
      </c>
      <c r="AA263" s="43">
        <v>150</v>
      </c>
      <c r="AB263" s="43"/>
      <c r="AC263" s="43"/>
      <c r="AD263" s="43">
        <f t="shared" si="101"/>
        <v>2520.5670000000005</v>
      </c>
      <c r="AE263" s="43">
        <v>2955.3</v>
      </c>
      <c r="AF263" s="43"/>
      <c r="AG263" s="43"/>
      <c r="AH263" s="42">
        <f t="shared" si="102"/>
        <v>2955.3</v>
      </c>
      <c r="AI263" s="41">
        <v>1954.9</v>
      </c>
      <c r="AJ263" s="40">
        <v>2418.4</v>
      </c>
      <c r="AK263" s="49">
        <f>3268.5-1000</f>
        <v>2268.5</v>
      </c>
      <c r="AL263" s="39">
        <f t="shared" si="105"/>
        <v>2268.5</v>
      </c>
      <c r="AM263" s="49"/>
      <c r="AN263" s="49">
        <f t="shared" si="106"/>
        <v>2268.5</v>
      </c>
    </row>
    <row r="264" spans="1:40" s="18" customFormat="1" ht="20.399999999999999" x14ac:dyDescent="0.25">
      <c r="A264" s="46">
        <v>74120</v>
      </c>
      <c r="B264" s="45" t="s">
        <v>41</v>
      </c>
      <c r="C264" s="43">
        <f>181959.5+2931.8+1241.6</f>
        <v>186132.9</v>
      </c>
      <c r="D264" s="43">
        <f t="shared" si="93"/>
        <v>15511.074999999999</v>
      </c>
      <c r="E264" s="43">
        <v>14905.9</v>
      </c>
      <c r="F264" s="43">
        <v>14689.6</v>
      </c>
      <c r="G264" s="43">
        <f t="shared" si="94"/>
        <v>43368.965700000001</v>
      </c>
      <c r="H264" s="44">
        <f t="shared" si="95"/>
        <v>0.16309371183763927</v>
      </c>
      <c r="I264" s="43">
        <v>14578.1</v>
      </c>
      <c r="J264" s="43"/>
      <c r="K264" s="43"/>
      <c r="L264" s="43">
        <f t="shared" si="103"/>
        <v>14578.1</v>
      </c>
      <c r="M264" s="43">
        <v>14334.4</v>
      </c>
      <c r="N264" s="43">
        <f t="shared" si="97"/>
        <v>-243.70000000000073</v>
      </c>
      <c r="O264" s="43">
        <f t="shared" si="98"/>
        <v>98.328314389392304</v>
      </c>
      <c r="P264" s="43">
        <v>48696.2</v>
      </c>
      <c r="Q264" s="44">
        <f t="shared" si="99"/>
        <v>0.19868190503617594</v>
      </c>
      <c r="R264" s="43">
        <f>6201897*Q264/100+2000</f>
        <v>14322.047107981445</v>
      </c>
      <c r="S264" s="43"/>
      <c r="T264" s="43"/>
      <c r="U264" s="43"/>
      <c r="V264" s="43"/>
      <c r="W264" s="43"/>
      <c r="X264" s="43">
        <f t="shared" si="100"/>
        <v>14322.047107981445</v>
      </c>
      <c r="Y264" s="43">
        <v>14868.832999999999</v>
      </c>
      <c r="Z264" s="43">
        <f t="shared" si="104"/>
        <v>14868.832999999999</v>
      </c>
      <c r="AA264" s="43">
        <v>292.89999999999998</v>
      </c>
      <c r="AB264" s="43"/>
      <c r="AC264" s="43"/>
      <c r="AD264" s="43">
        <f t="shared" si="101"/>
        <v>15161.732999999998</v>
      </c>
      <c r="AE264" s="43">
        <v>16381.7</v>
      </c>
      <c r="AF264" s="43"/>
      <c r="AG264" s="43"/>
      <c r="AH264" s="42">
        <f t="shared" si="102"/>
        <v>16381.7</v>
      </c>
      <c r="AI264" s="41">
        <v>15466.4</v>
      </c>
      <c r="AJ264" s="40">
        <v>14998.2</v>
      </c>
      <c r="AK264" s="49">
        <f>19453.9-5000-1000</f>
        <v>13453.900000000001</v>
      </c>
      <c r="AL264" s="39">
        <f t="shared" si="105"/>
        <v>13453.900000000001</v>
      </c>
      <c r="AM264" s="49"/>
      <c r="AN264" s="49">
        <f t="shared" si="106"/>
        <v>13453.900000000001</v>
      </c>
    </row>
    <row r="265" spans="1:40" s="18" customFormat="1" ht="20.399999999999999" x14ac:dyDescent="0.25">
      <c r="A265" s="46">
        <v>75120</v>
      </c>
      <c r="B265" s="45" t="s">
        <v>40</v>
      </c>
      <c r="C265" s="43">
        <v>37513.599999999999</v>
      </c>
      <c r="D265" s="43">
        <f t="shared" si="93"/>
        <v>3126.1333333333332</v>
      </c>
      <c r="E265" s="43">
        <v>2209.9</v>
      </c>
      <c r="F265" s="43">
        <v>2684.5</v>
      </c>
      <c r="G265" s="43">
        <f t="shared" si="94"/>
        <v>8740.6687999999995</v>
      </c>
      <c r="H265" s="44">
        <f t="shared" si="95"/>
        <v>2.6971866101878378E-2</v>
      </c>
      <c r="I265" s="43">
        <v>3830.5</v>
      </c>
      <c r="J265" s="43"/>
      <c r="K265" s="43"/>
      <c r="L265" s="43">
        <f t="shared" si="103"/>
        <v>3830.5</v>
      </c>
      <c r="M265" s="43">
        <v>3715.7</v>
      </c>
      <c r="N265" s="43">
        <f t="shared" si="97"/>
        <v>-114.80000000000018</v>
      </c>
      <c r="O265" s="43">
        <f t="shared" si="98"/>
        <v>97.003002219031458</v>
      </c>
      <c r="P265" s="43">
        <v>9908.3000000000011</v>
      </c>
      <c r="Q265" s="44">
        <f t="shared" si="99"/>
        <v>4.0426150699026664E-2</v>
      </c>
      <c r="R265" s="43">
        <f>6201897*Q265/100+500</f>
        <v>3007.1882274184136</v>
      </c>
      <c r="S265" s="43"/>
      <c r="T265" s="43"/>
      <c r="U265" s="43"/>
      <c r="V265" s="43"/>
      <c r="W265" s="43"/>
      <c r="X265" s="43">
        <f t="shared" si="100"/>
        <v>3007.1882274184136</v>
      </c>
      <c r="Y265" s="43">
        <v>2884.2</v>
      </c>
      <c r="Z265" s="43">
        <f t="shared" si="104"/>
        <v>2884.2</v>
      </c>
      <c r="AA265" s="43"/>
      <c r="AB265" s="43"/>
      <c r="AC265" s="43"/>
      <c r="AD265" s="43">
        <f t="shared" si="101"/>
        <v>2884.2</v>
      </c>
      <c r="AE265" s="43">
        <v>3571.5</v>
      </c>
      <c r="AF265" s="43"/>
      <c r="AG265" s="43"/>
      <c r="AH265" s="42">
        <f t="shared" si="102"/>
        <v>3571.5</v>
      </c>
      <c r="AI265" s="41">
        <v>3571.5</v>
      </c>
      <c r="AJ265" s="40">
        <v>2980</v>
      </c>
      <c r="AK265" s="49">
        <f>4264.1-1300</f>
        <v>2964.1000000000004</v>
      </c>
      <c r="AL265" s="39">
        <f t="shared" si="105"/>
        <v>2964.1000000000004</v>
      </c>
      <c r="AM265" s="49"/>
      <c r="AN265" s="49">
        <f t="shared" si="106"/>
        <v>2964.1000000000004</v>
      </c>
    </row>
    <row r="266" spans="1:40" s="18" customFormat="1" ht="20.399999999999999" x14ac:dyDescent="0.25">
      <c r="A266" s="46">
        <v>75160</v>
      </c>
      <c r="B266" s="45" t="s">
        <v>39</v>
      </c>
      <c r="C266" s="43">
        <v>1600</v>
      </c>
      <c r="D266" s="43">
        <f t="shared" si="93"/>
        <v>133.33333333333334</v>
      </c>
      <c r="E266" s="43"/>
      <c r="F266" s="43"/>
      <c r="G266" s="43">
        <f t="shared" si="94"/>
        <v>372.8</v>
      </c>
      <c r="H266" s="44">
        <f t="shared" si="95"/>
        <v>0</v>
      </c>
      <c r="I266" s="43">
        <f>7990664.7*H266/100</f>
        <v>0</v>
      </c>
      <c r="J266" s="43"/>
      <c r="K266" s="43"/>
      <c r="L266" s="43">
        <f t="shared" si="103"/>
        <v>0</v>
      </c>
      <c r="M266" s="43">
        <v>0</v>
      </c>
      <c r="N266" s="43">
        <f t="shared" si="97"/>
        <v>0</v>
      </c>
      <c r="O266" s="43"/>
      <c r="P266" s="47"/>
      <c r="Q266" s="44">
        <f t="shared" si="99"/>
        <v>0</v>
      </c>
      <c r="R266" s="43">
        <f>6201897*Q266/100</f>
        <v>0</v>
      </c>
      <c r="S266" s="43"/>
      <c r="T266" s="43"/>
      <c r="U266" s="43"/>
      <c r="V266" s="43"/>
      <c r="W266" s="43"/>
      <c r="X266" s="43">
        <f t="shared" si="100"/>
        <v>0</v>
      </c>
      <c r="Y266" s="43"/>
      <c r="Z266" s="43">
        <f t="shared" si="104"/>
        <v>0</v>
      </c>
      <c r="AA266" s="43"/>
      <c r="AB266" s="43"/>
      <c r="AC266" s="43"/>
      <c r="AD266" s="43">
        <f t="shared" si="101"/>
        <v>0</v>
      </c>
      <c r="AE266" s="43"/>
      <c r="AF266" s="43"/>
      <c r="AG266" s="43"/>
      <c r="AH266" s="42">
        <f t="shared" si="102"/>
        <v>0</v>
      </c>
      <c r="AI266" s="41"/>
      <c r="AJ266" s="40">
        <v>0</v>
      </c>
      <c r="AK266" s="49"/>
      <c r="AL266" s="39">
        <f t="shared" si="105"/>
        <v>0</v>
      </c>
      <c r="AM266" s="49"/>
      <c r="AN266" s="49">
        <f t="shared" si="106"/>
        <v>0</v>
      </c>
    </row>
    <row r="267" spans="1:40" s="18" customFormat="1" ht="13.2" x14ac:dyDescent="0.25">
      <c r="A267" s="46">
        <v>76121</v>
      </c>
      <c r="B267" s="45" t="s">
        <v>347</v>
      </c>
      <c r="C267" s="43"/>
      <c r="D267" s="43"/>
      <c r="E267" s="43"/>
      <c r="F267" s="43"/>
      <c r="G267" s="43"/>
      <c r="H267" s="44"/>
      <c r="I267" s="43"/>
      <c r="J267" s="43"/>
      <c r="K267" s="43"/>
      <c r="L267" s="43"/>
      <c r="M267" s="43"/>
      <c r="N267" s="43"/>
      <c r="O267" s="43"/>
      <c r="P267" s="47"/>
      <c r="Q267" s="44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2"/>
      <c r="AI267" s="41"/>
      <c r="AJ267" s="40"/>
      <c r="AK267" s="49"/>
      <c r="AL267" s="39"/>
      <c r="AM267" s="49">
        <v>559.9</v>
      </c>
      <c r="AN267" s="49">
        <f t="shared" si="106"/>
        <v>559.9</v>
      </c>
    </row>
    <row r="268" spans="1:40" s="18" customFormat="1" ht="14.25" customHeight="1" x14ac:dyDescent="0.25">
      <c r="A268" s="46">
        <v>77110</v>
      </c>
      <c r="B268" s="45" t="s">
        <v>38</v>
      </c>
      <c r="C268" s="43">
        <v>5527.6</v>
      </c>
      <c r="D268" s="43">
        <f t="shared" si="93"/>
        <v>460.63333333333338</v>
      </c>
      <c r="E268" s="43">
        <v>520.5</v>
      </c>
      <c r="F268" s="43">
        <v>448.4</v>
      </c>
      <c r="G268" s="43">
        <f t="shared" si="94"/>
        <v>1287.9308000000001</v>
      </c>
      <c r="H268" s="44">
        <f t="shared" si="95"/>
        <v>5.3393758307678082E-3</v>
      </c>
      <c r="I268" s="43">
        <v>308.5</v>
      </c>
      <c r="J268" s="43"/>
      <c r="K268" s="43"/>
      <c r="L268" s="43">
        <f t="shared" si="103"/>
        <v>308.5</v>
      </c>
      <c r="M268" s="43">
        <v>308.5</v>
      </c>
      <c r="N268" s="43">
        <f t="shared" si="97"/>
        <v>0</v>
      </c>
      <c r="O268" s="43">
        <f t="shared" ref="O268:O281" si="107">M268/L268*100</f>
        <v>100</v>
      </c>
      <c r="P268" s="43">
        <v>1415.9</v>
      </c>
      <c r="Q268" s="44">
        <f t="shared" si="99"/>
        <v>5.7769129694046264E-3</v>
      </c>
      <c r="R268" s="43">
        <f>6201897*Q268/100</f>
        <v>358.27819214211644</v>
      </c>
      <c r="S268" s="43"/>
      <c r="T268" s="43"/>
      <c r="U268" s="43">
        <v>168.4</v>
      </c>
      <c r="V268" s="43"/>
      <c r="W268" s="43"/>
      <c r="X268" s="43">
        <f t="shared" si="100"/>
        <v>526.67819214211647</v>
      </c>
      <c r="Y268" s="43">
        <v>401.83300000000003</v>
      </c>
      <c r="Z268" s="43">
        <f t="shared" si="104"/>
        <v>401.83300000000003</v>
      </c>
      <c r="AA268" s="43"/>
      <c r="AB268" s="43"/>
      <c r="AC268" s="43">
        <v>40.5</v>
      </c>
      <c r="AD268" s="43">
        <f t="shared" si="101"/>
        <v>442.33300000000003</v>
      </c>
      <c r="AE268" s="43">
        <v>440.2</v>
      </c>
      <c r="AF268" s="43"/>
      <c r="AG268" s="43"/>
      <c r="AH268" s="42">
        <f t="shared" si="102"/>
        <v>440.2</v>
      </c>
      <c r="AI268" s="41">
        <f>446.8+312</f>
        <v>758.8</v>
      </c>
      <c r="AJ268" s="40">
        <v>314.5</v>
      </c>
      <c r="AK268" s="49">
        <v>303.39999999999998</v>
      </c>
      <c r="AL268" s="39">
        <f t="shared" si="105"/>
        <v>303.39999999999998</v>
      </c>
      <c r="AM268" s="49"/>
      <c r="AN268" s="49">
        <f t="shared" si="106"/>
        <v>303.39999999999998</v>
      </c>
    </row>
    <row r="269" spans="1:40" s="18" customFormat="1" ht="15" customHeight="1" x14ac:dyDescent="0.25">
      <c r="A269" s="46">
        <v>79120</v>
      </c>
      <c r="B269" s="45" t="s">
        <v>37</v>
      </c>
      <c r="C269" s="43">
        <v>18459.2</v>
      </c>
      <c r="D269" s="43">
        <f t="shared" si="93"/>
        <v>1538.2666666666667</v>
      </c>
      <c r="E269" s="43"/>
      <c r="F269" s="43">
        <v>117.1</v>
      </c>
      <c r="G269" s="43">
        <f t="shared" si="94"/>
        <v>4300.9936000000007</v>
      </c>
      <c r="H269" s="44">
        <f t="shared" si="95"/>
        <v>6.4531005241295328E-4</v>
      </c>
      <c r="I269" s="43">
        <v>4003.2</v>
      </c>
      <c r="J269" s="43"/>
      <c r="K269" s="43">
        <v>-3648.9</v>
      </c>
      <c r="L269" s="43">
        <f t="shared" si="103"/>
        <v>354.29999999999973</v>
      </c>
      <c r="M269" s="43">
        <v>254.1</v>
      </c>
      <c r="N269" s="43">
        <f t="shared" si="97"/>
        <v>-100.19999999999973</v>
      </c>
      <c r="O269" s="43">
        <f t="shared" si="107"/>
        <v>71.718882303132986</v>
      </c>
      <c r="P269" s="43">
        <v>912.69999999999993</v>
      </c>
      <c r="Q269" s="44">
        <f t="shared" si="99"/>
        <v>3.7238424091924579E-3</v>
      </c>
      <c r="R269" s="43">
        <f>6201897*Q269/100</f>
        <v>230.94887066043478</v>
      </c>
      <c r="S269" s="43"/>
      <c r="T269" s="43"/>
      <c r="U269" s="43"/>
      <c r="V269" s="43"/>
      <c r="W269" s="43"/>
      <c r="X269" s="43">
        <f t="shared" si="100"/>
        <v>230.94887066043478</v>
      </c>
      <c r="Y269" s="43">
        <v>2573.2669999999998</v>
      </c>
      <c r="Z269" s="43">
        <f t="shared" si="104"/>
        <v>2573.2669999999998</v>
      </c>
      <c r="AA269" s="43"/>
      <c r="AB269" s="43"/>
      <c r="AC269" s="43">
        <v>-2330.6</v>
      </c>
      <c r="AD269" s="43">
        <f t="shared" si="101"/>
        <v>242.66699999999992</v>
      </c>
      <c r="AE269" s="43">
        <v>86.1</v>
      </c>
      <c r="AF269" s="43"/>
      <c r="AG269" s="43"/>
      <c r="AH269" s="42">
        <f t="shared" si="102"/>
        <v>86.1</v>
      </c>
      <c r="AI269" s="41">
        <v>420</v>
      </c>
      <c r="AJ269" s="40">
        <v>466.3</v>
      </c>
      <c r="AK269" s="49">
        <f>962.8-500</f>
        <v>462.79999999999995</v>
      </c>
      <c r="AL269" s="39">
        <f t="shared" si="105"/>
        <v>462.79999999999995</v>
      </c>
      <c r="AM269" s="49"/>
      <c r="AN269" s="49">
        <f t="shared" si="106"/>
        <v>462.79999999999995</v>
      </c>
    </row>
    <row r="270" spans="1:40" s="18" customFormat="1" ht="13.2" x14ac:dyDescent="0.25">
      <c r="A270" s="46">
        <v>80120</v>
      </c>
      <c r="B270" s="45" t="s">
        <v>36</v>
      </c>
      <c r="C270" s="43">
        <v>311649.7</v>
      </c>
      <c r="D270" s="43">
        <f t="shared" si="93"/>
        <v>25970.808333333334</v>
      </c>
      <c r="E270" s="43">
        <v>20547.400000000001</v>
      </c>
      <c r="F270" s="43">
        <v>20021.5</v>
      </c>
      <c r="G270" s="43">
        <f t="shared" si="94"/>
        <v>72614.380100000009</v>
      </c>
      <c r="H270" s="44">
        <f t="shared" si="95"/>
        <v>0.2235654909080774</v>
      </c>
      <c r="I270" s="43">
        <v>33563.1</v>
      </c>
      <c r="J270" s="43"/>
      <c r="K270" s="43"/>
      <c r="L270" s="43">
        <f t="shared" si="103"/>
        <v>33563.1</v>
      </c>
      <c r="M270" s="43">
        <v>28721.200000000001</v>
      </c>
      <c r="N270" s="43">
        <f t="shared" si="97"/>
        <v>-4841.8999999999978</v>
      </c>
      <c r="O270" s="43">
        <f t="shared" si="107"/>
        <v>85.573740208741157</v>
      </c>
      <c r="P270" s="43">
        <v>81330.600000000006</v>
      </c>
      <c r="Q270" s="44">
        <f t="shared" si="99"/>
        <v>0.33183120132033328</v>
      </c>
      <c r="R270" s="43">
        <f>6201897*Q270/100</f>
        <v>20579.829319749711</v>
      </c>
      <c r="S270" s="43">
        <v>1608.1</v>
      </c>
      <c r="T270" s="43"/>
      <c r="U270" s="43"/>
      <c r="V270" s="43"/>
      <c r="W270" s="43"/>
      <c r="X270" s="43">
        <f t="shared" si="100"/>
        <v>22187.92931974971</v>
      </c>
      <c r="Y270" s="43">
        <v>21125.032999999999</v>
      </c>
      <c r="Z270" s="43">
        <f t="shared" si="104"/>
        <v>21125.032999999999</v>
      </c>
      <c r="AA270" s="43"/>
      <c r="AB270" s="43"/>
      <c r="AC270" s="43"/>
      <c r="AD270" s="43">
        <f t="shared" si="101"/>
        <v>21125.032999999999</v>
      </c>
      <c r="AE270" s="43">
        <v>23796.400000000001</v>
      </c>
      <c r="AF270" s="43"/>
      <c r="AG270" s="43"/>
      <c r="AH270" s="42">
        <f t="shared" si="102"/>
        <v>23796.400000000001</v>
      </c>
      <c r="AI270" s="41">
        <f>30142.5+5400</f>
        <v>35542.5</v>
      </c>
      <c r="AJ270" s="40">
        <v>32042.5</v>
      </c>
      <c r="AK270" s="49">
        <f>65653-45000</f>
        <v>20653</v>
      </c>
      <c r="AL270" s="39">
        <f t="shared" si="105"/>
        <v>20653</v>
      </c>
      <c r="AM270" s="49"/>
      <c r="AN270" s="49">
        <f t="shared" si="106"/>
        <v>20653</v>
      </c>
    </row>
    <row r="271" spans="1:40" s="18" customFormat="1" ht="20.399999999999999" x14ac:dyDescent="0.25">
      <c r="A271" s="46">
        <v>81120</v>
      </c>
      <c r="B271" s="45" t="s">
        <v>35</v>
      </c>
      <c r="C271" s="43">
        <v>142567.9</v>
      </c>
      <c r="D271" s="43">
        <f t="shared" si="93"/>
        <v>11880.658333333333</v>
      </c>
      <c r="E271" s="43">
        <v>11528.7</v>
      </c>
      <c r="F271" s="43">
        <v>11060.6</v>
      </c>
      <c r="G271" s="43">
        <f t="shared" si="94"/>
        <v>33218.320699999997</v>
      </c>
      <c r="H271" s="44">
        <f t="shared" si="95"/>
        <v>0.12448422175040073</v>
      </c>
      <c r="I271" s="43">
        <v>12020</v>
      </c>
      <c r="J271" s="43"/>
      <c r="K271" s="43"/>
      <c r="L271" s="43">
        <f t="shared" si="103"/>
        <v>12020</v>
      </c>
      <c r="M271" s="43">
        <v>11771</v>
      </c>
      <c r="N271" s="43">
        <f t="shared" si="97"/>
        <v>-249</v>
      </c>
      <c r="O271" s="43">
        <f t="shared" si="107"/>
        <v>97.928452579034939</v>
      </c>
      <c r="P271" s="43">
        <v>37884.5</v>
      </c>
      <c r="Q271" s="44">
        <f t="shared" si="99"/>
        <v>0.15456985619705454</v>
      </c>
      <c r="R271" s="43">
        <f>6201897*Q271/100+2000</f>
        <v>11586.263274389441</v>
      </c>
      <c r="S271" s="43"/>
      <c r="T271" s="43"/>
      <c r="U271" s="43"/>
      <c r="V271" s="43"/>
      <c r="W271" s="43"/>
      <c r="X271" s="43">
        <f t="shared" si="100"/>
        <v>11586.263274389441</v>
      </c>
      <c r="Y271" s="43">
        <v>12310.73</v>
      </c>
      <c r="Z271" s="43">
        <f t="shared" si="104"/>
        <v>12310.73</v>
      </c>
      <c r="AA271" s="43"/>
      <c r="AB271" s="43"/>
      <c r="AC271" s="43"/>
      <c r="AD271" s="43">
        <f t="shared" si="101"/>
        <v>12310.73</v>
      </c>
      <c r="AE271" s="43">
        <v>11566.4</v>
      </c>
      <c r="AF271" s="43"/>
      <c r="AG271" s="43"/>
      <c r="AH271" s="42">
        <f t="shared" si="102"/>
        <v>11566.4</v>
      </c>
      <c r="AI271" s="41">
        <v>11567</v>
      </c>
      <c r="AJ271" s="40">
        <v>13778.8</v>
      </c>
      <c r="AK271" s="49">
        <v>10690.1</v>
      </c>
      <c r="AL271" s="39">
        <f t="shared" si="105"/>
        <v>10690.1</v>
      </c>
      <c r="AM271" s="49"/>
      <c r="AN271" s="49">
        <f t="shared" si="106"/>
        <v>10690.1</v>
      </c>
    </row>
    <row r="272" spans="1:40" s="18" customFormat="1" ht="36" customHeight="1" x14ac:dyDescent="0.25">
      <c r="A272" s="46">
        <v>82110</v>
      </c>
      <c r="B272" s="45" t="s">
        <v>34</v>
      </c>
      <c r="C272" s="43">
        <v>11305.5</v>
      </c>
      <c r="D272" s="43">
        <f t="shared" si="93"/>
        <v>942.125</v>
      </c>
      <c r="E272" s="43">
        <v>990</v>
      </c>
      <c r="F272" s="43">
        <v>741</v>
      </c>
      <c r="G272" s="43">
        <f t="shared" si="94"/>
        <v>2634.1815000000001</v>
      </c>
      <c r="H272" s="44">
        <f t="shared" si="95"/>
        <v>9.5391263939096672E-3</v>
      </c>
      <c r="I272" s="43">
        <f>7990664.7*H272/100+100</f>
        <v>862.23960544652277</v>
      </c>
      <c r="J272" s="43"/>
      <c r="K272" s="43"/>
      <c r="L272" s="43">
        <f t="shared" si="103"/>
        <v>862.23960544652277</v>
      </c>
      <c r="M272" s="43">
        <v>862.2</v>
      </c>
      <c r="N272" s="43">
        <f t="shared" si="97"/>
        <v>-3.9605446522728016E-2</v>
      </c>
      <c r="O272" s="43">
        <f t="shared" si="107"/>
        <v>99.995406677416284</v>
      </c>
      <c r="P272" s="43">
        <v>3038.7000000000003</v>
      </c>
      <c r="Q272" s="44">
        <f t="shared" si="99"/>
        <v>1.2397983925510161E-2</v>
      </c>
      <c r="R272" s="43">
        <f>6201897*Q272/100</f>
        <v>768.91019313669688</v>
      </c>
      <c r="S272" s="43"/>
      <c r="T272" s="43"/>
      <c r="U272" s="43"/>
      <c r="V272" s="43"/>
      <c r="W272" s="43"/>
      <c r="X272" s="43">
        <f t="shared" si="100"/>
        <v>768.91019313669688</v>
      </c>
      <c r="Y272" s="43">
        <v>769.87</v>
      </c>
      <c r="Z272" s="43">
        <f t="shared" si="104"/>
        <v>769.87</v>
      </c>
      <c r="AA272" s="43">
        <f>1085-Z272</f>
        <v>315.13</v>
      </c>
      <c r="AB272" s="43"/>
      <c r="AC272" s="43"/>
      <c r="AD272" s="43">
        <f t="shared" si="101"/>
        <v>1085</v>
      </c>
      <c r="AE272" s="43">
        <v>983.9</v>
      </c>
      <c r="AF272" s="43">
        <v>123.2</v>
      </c>
      <c r="AG272" s="43"/>
      <c r="AH272" s="42">
        <f t="shared" si="102"/>
        <v>1107.0999999999999</v>
      </c>
      <c r="AI272" s="41">
        <v>1094</v>
      </c>
      <c r="AJ272" s="40">
        <v>1110</v>
      </c>
      <c r="AK272" s="49">
        <f>1491.3-500</f>
        <v>991.3</v>
      </c>
      <c r="AL272" s="39">
        <f t="shared" si="105"/>
        <v>991.3</v>
      </c>
      <c r="AM272" s="49"/>
      <c r="AN272" s="49">
        <f t="shared" si="106"/>
        <v>991.3</v>
      </c>
    </row>
    <row r="273" spans="1:40" s="18" customFormat="1" ht="20.399999999999999" x14ac:dyDescent="0.25">
      <c r="A273" s="46">
        <v>83120</v>
      </c>
      <c r="B273" s="45" t="s">
        <v>33</v>
      </c>
      <c r="C273" s="43">
        <v>20674.599999999999</v>
      </c>
      <c r="D273" s="43">
        <f t="shared" si="93"/>
        <v>1722.8833333333332</v>
      </c>
      <c r="E273" s="43">
        <v>695.4</v>
      </c>
      <c r="F273" s="43">
        <v>601.5</v>
      </c>
      <c r="G273" s="43">
        <f t="shared" si="94"/>
        <v>4817.1818000000003</v>
      </c>
      <c r="H273" s="44">
        <f t="shared" si="95"/>
        <v>7.1469052687818885E-3</v>
      </c>
      <c r="I273" s="43">
        <v>1707.2</v>
      </c>
      <c r="J273" s="43"/>
      <c r="K273" s="43"/>
      <c r="L273" s="43">
        <f t="shared" si="103"/>
        <v>1707.2</v>
      </c>
      <c r="M273" s="43">
        <v>807.4</v>
      </c>
      <c r="N273" s="43">
        <f t="shared" si="97"/>
        <v>-899.80000000000007</v>
      </c>
      <c r="O273" s="43">
        <f t="shared" si="107"/>
        <v>47.293814432989691</v>
      </c>
      <c r="P273" s="43">
        <v>6109</v>
      </c>
      <c r="Q273" s="44">
        <f t="shared" si="99"/>
        <v>2.4924896765373863E-2</v>
      </c>
      <c r="R273" s="43">
        <f>6201897*Q273/100</f>
        <v>1545.8164247448187</v>
      </c>
      <c r="S273" s="43"/>
      <c r="T273" s="43"/>
      <c r="U273" s="43"/>
      <c r="V273" s="43"/>
      <c r="W273" s="43"/>
      <c r="X273" s="43">
        <f t="shared" si="100"/>
        <v>1545.8164247448187</v>
      </c>
      <c r="Y273" s="43">
        <v>495.3</v>
      </c>
      <c r="Z273" s="43">
        <f t="shared" si="104"/>
        <v>495.3</v>
      </c>
      <c r="AA273" s="43"/>
      <c r="AB273" s="43">
        <v>400</v>
      </c>
      <c r="AC273" s="43"/>
      <c r="AD273" s="43">
        <f t="shared" si="101"/>
        <v>895.3</v>
      </c>
      <c r="AE273" s="43">
        <v>685.7</v>
      </c>
      <c r="AF273" s="43"/>
      <c r="AG273" s="43"/>
      <c r="AH273" s="42">
        <f t="shared" si="102"/>
        <v>685.7</v>
      </c>
      <c r="AI273" s="41">
        <f>685.7+30</f>
        <v>715.7</v>
      </c>
      <c r="AJ273" s="40">
        <v>1340</v>
      </c>
      <c r="AK273" s="49">
        <f>2800-1500-500</f>
        <v>800</v>
      </c>
      <c r="AL273" s="39">
        <f t="shared" si="105"/>
        <v>800</v>
      </c>
      <c r="AM273" s="49"/>
      <c r="AN273" s="49">
        <f t="shared" si="106"/>
        <v>800</v>
      </c>
    </row>
    <row r="274" spans="1:40" s="18" customFormat="1" ht="13.2" x14ac:dyDescent="0.25">
      <c r="A274" s="46">
        <v>84120</v>
      </c>
      <c r="B274" s="45" t="s">
        <v>32</v>
      </c>
      <c r="C274" s="43">
        <v>481.2</v>
      </c>
      <c r="D274" s="43">
        <f t="shared" si="93"/>
        <v>40.1</v>
      </c>
      <c r="E274" s="43"/>
      <c r="F274" s="43"/>
      <c r="G274" s="43">
        <f t="shared" si="94"/>
        <v>112.11960000000001</v>
      </c>
      <c r="H274" s="44">
        <f t="shared" si="95"/>
        <v>0</v>
      </c>
      <c r="I274" s="43">
        <f>7990664.7*H274/100+40.1</f>
        <v>40.1</v>
      </c>
      <c r="J274" s="43"/>
      <c r="K274" s="43"/>
      <c r="L274" s="43">
        <f t="shared" si="103"/>
        <v>40.1</v>
      </c>
      <c r="M274" s="43">
        <v>0</v>
      </c>
      <c r="N274" s="43">
        <f t="shared" si="97"/>
        <v>-40.1</v>
      </c>
      <c r="O274" s="43">
        <f t="shared" si="107"/>
        <v>0</v>
      </c>
      <c r="P274" s="43">
        <v>144.80000000000001</v>
      </c>
      <c r="Q274" s="44">
        <f t="shared" si="99"/>
        <v>5.9078818982257917E-4</v>
      </c>
      <c r="R274" s="43">
        <f>6201897*Q274/100</f>
        <v>36.640075020960843</v>
      </c>
      <c r="S274" s="43"/>
      <c r="T274" s="43"/>
      <c r="U274" s="43"/>
      <c r="V274" s="43"/>
      <c r="W274" s="43"/>
      <c r="X274" s="43">
        <f t="shared" si="100"/>
        <v>36.640075020960843</v>
      </c>
      <c r="Y274" s="43"/>
      <c r="Z274" s="43">
        <v>189.1</v>
      </c>
      <c r="AA274" s="43"/>
      <c r="AB274" s="43"/>
      <c r="AC274" s="43"/>
      <c r="AD274" s="43">
        <f t="shared" si="101"/>
        <v>189.1</v>
      </c>
      <c r="AE274" s="43"/>
      <c r="AF274" s="43"/>
      <c r="AG274" s="43"/>
      <c r="AH274" s="42">
        <f t="shared" si="102"/>
        <v>0</v>
      </c>
      <c r="AI274" s="41">
        <v>51.1</v>
      </c>
      <c r="AJ274" s="40">
        <v>60.1</v>
      </c>
      <c r="AK274" s="49">
        <v>60.1</v>
      </c>
      <c r="AL274" s="39">
        <f t="shared" si="105"/>
        <v>60.1</v>
      </c>
      <c r="AM274" s="49"/>
      <c r="AN274" s="49">
        <f t="shared" si="106"/>
        <v>60.1</v>
      </c>
    </row>
    <row r="275" spans="1:40" s="18" customFormat="1" ht="12" customHeight="1" x14ac:dyDescent="0.25">
      <c r="A275" s="46">
        <v>85121</v>
      </c>
      <c r="B275" s="45" t="s">
        <v>31</v>
      </c>
      <c r="C275" s="43">
        <v>434397.9</v>
      </c>
      <c r="D275" s="43">
        <f t="shared" si="93"/>
        <v>36199.825000000004</v>
      </c>
      <c r="E275" s="43">
        <v>35090.1</v>
      </c>
      <c r="F275" s="43">
        <v>29084</v>
      </c>
      <c r="G275" s="43">
        <f t="shared" si="94"/>
        <v>101214.7107</v>
      </c>
      <c r="H275" s="44">
        <f t="shared" si="95"/>
        <v>0.35364809423188814</v>
      </c>
      <c r="I275" s="43">
        <v>25014.6</v>
      </c>
      <c r="J275" s="43"/>
      <c r="K275" s="43"/>
      <c r="L275" s="43">
        <f t="shared" si="103"/>
        <v>25014.6</v>
      </c>
      <c r="M275" s="43">
        <v>25014.6</v>
      </c>
      <c r="N275" s="43">
        <f t="shared" si="97"/>
        <v>0</v>
      </c>
      <c r="O275" s="43">
        <f t="shared" si="107"/>
        <v>100</v>
      </c>
      <c r="P275" s="43">
        <v>115137.40000000001</v>
      </c>
      <c r="Q275" s="44">
        <f t="shared" si="99"/>
        <v>0.4697639235281646</v>
      </c>
      <c r="R275" s="43">
        <f>6201897*Q275/100</f>
        <v>29134.274680375536</v>
      </c>
      <c r="S275" s="43"/>
      <c r="T275" s="43"/>
      <c r="U275" s="43"/>
      <c r="V275" s="43"/>
      <c r="W275" s="43"/>
      <c r="X275" s="43">
        <f t="shared" si="100"/>
        <v>29134.274680375536</v>
      </c>
      <c r="Y275" s="43">
        <v>36748.36</v>
      </c>
      <c r="Z275" s="43">
        <f t="shared" ref="Z275:Z280" si="108">Y275</f>
        <v>36748.36</v>
      </c>
      <c r="AA275" s="43"/>
      <c r="AB275" s="43"/>
      <c r="AC275" s="43"/>
      <c r="AD275" s="43">
        <f t="shared" si="101"/>
        <v>36748.36</v>
      </c>
      <c r="AE275" s="43">
        <f>47370.6-10000</f>
        <v>37370.6</v>
      </c>
      <c r="AF275" s="43"/>
      <c r="AG275" s="43"/>
      <c r="AH275" s="42">
        <f t="shared" si="102"/>
        <v>37370.6</v>
      </c>
      <c r="AI275" s="41">
        <f>3337.1+32701.9</f>
        <v>36039</v>
      </c>
      <c r="AJ275" s="40">
        <v>37039</v>
      </c>
      <c r="AK275" s="49">
        <f>63685.1-30000</f>
        <v>33685.1</v>
      </c>
      <c r="AL275" s="39">
        <f t="shared" si="105"/>
        <v>33685.1</v>
      </c>
      <c r="AM275" s="49"/>
      <c r="AN275" s="49">
        <f t="shared" si="106"/>
        <v>33685.1</v>
      </c>
    </row>
    <row r="276" spans="1:40" s="18" customFormat="1" ht="20.399999999999999" x14ac:dyDescent="0.25">
      <c r="A276" s="46">
        <v>85221</v>
      </c>
      <c r="B276" s="45" t="s">
        <v>30</v>
      </c>
      <c r="C276" s="43">
        <v>37490.9</v>
      </c>
      <c r="D276" s="43">
        <f t="shared" si="93"/>
        <v>3124.2416666666668</v>
      </c>
      <c r="E276" s="43">
        <v>2913.1</v>
      </c>
      <c r="F276" s="43">
        <v>2843.2</v>
      </c>
      <c r="G276" s="43">
        <f t="shared" si="94"/>
        <v>8735.3797000000013</v>
      </c>
      <c r="H276" s="44">
        <f t="shared" si="95"/>
        <v>3.1721590561098911E-2</v>
      </c>
      <c r="I276" s="43">
        <v>2758.5</v>
      </c>
      <c r="J276" s="43"/>
      <c r="K276" s="43"/>
      <c r="L276" s="43">
        <f t="shared" si="103"/>
        <v>2758.5</v>
      </c>
      <c r="M276" s="43">
        <v>2758.5</v>
      </c>
      <c r="N276" s="43">
        <f t="shared" si="97"/>
        <v>0</v>
      </c>
      <c r="O276" s="43">
        <f t="shared" si="107"/>
        <v>100</v>
      </c>
      <c r="P276" s="43">
        <v>8846.9000000000015</v>
      </c>
      <c r="Q276" s="44">
        <f t="shared" si="99"/>
        <v>3.6095607987164199E-2</v>
      </c>
      <c r="R276" s="43">
        <f>6201897*Q276/100+300</f>
        <v>2538.6124288876968</v>
      </c>
      <c r="S276" s="43"/>
      <c r="T276" s="43"/>
      <c r="U276" s="43"/>
      <c r="V276" s="43"/>
      <c r="W276" s="43"/>
      <c r="X276" s="43">
        <f t="shared" si="100"/>
        <v>2538.6124288876968</v>
      </c>
      <c r="Y276" s="43">
        <v>1383.57</v>
      </c>
      <c r="Z276" s="43">
        <f t="shared" si="108"/>
        <v>1383.57</v>
      </c>
      <c r="AA276" s="43"/>
      <c r="AB276" s="43"/>
      <c r="AC276" s="43"/>
      <c r="AD276" s="43">
        <f t="shared" si="101"/>
        <v>1383.57</v>
      </c>
      <c r="AE276" s="43">
        <f>4491.4-1500</f>
        <v>2991.3999999999996</v>
      </c>
      <c r="AF276" s="43"/>
      <c r="AG276" s="43"/>
      <c r="AH276" s="42">
        <f t="shared" si="102"/>
        <v>2991.3999999999996</v>
      </c>
      <c r="AI276" s="41">
        <v>3083.9</v>
      </c>
      <c r="AJ276" s="40">
        <v>3028.7</v>
      </c>
      <c r="AK276" s="49">
        <f>5645.5-2000-1000</f>
        <v>2645.5</v>
      </c>
      <c r="AL276" s="39">
        <f t="shared" si="105"/>
        <v>2645.5</v>
      </c>
      <c r="AM276" s="49"/>
      <c r="AN276" s="49">
        <f t="shared" si="106"/>
        <v>2645.5</v>
      </c>
    </row>
    <row r="277" spans="1:40" s="18" customFormat="1" ht="20.399999999999999" x14ac:dyDescent="0.25">
      <c r="A277" s="46">
        <v>85321</v>
      </c>
      <c r="B277" s="45" t="s">
        <v>29</v>
      </c>
      <c r="C277" s="43">
        <v>81332.7</v>
      </c>
      <c r="D277" s="43">
        <f t="shared" si="93"/>
        <v>6777.7249999999995</v>
      </c>
      <c r="E277" s="43">
        <v>6519.4</v>
      </c>
      <c r="F277" s="43">
        <v>4220</v>
      </c>
      <c r="G277" s="43">
        <f t="shared" si="94"/>
        <v>18950.519099999998</v>
      </c>
      <c r="H277" s="44">
        <f t="shared" si="95"/>
        <v>5.9182261117708537E-2</v>
      </c>
      <c r="I277" s="43">
        <v>7059.2</v>
      </c>
      <c r="J277" s="43"/>
      <c r="K277" s="43"/>
      <c r="L277" s="43">
        <f t="shared" si="103"/>
        <v>7059.2</v>
      </c>
      <c r="M277" s="43">
        <v>5250.5</v>
      </c>
      <c r="N277" s="43">
        <f t="shared" si="97"/>
        <v>-1808.6999999999998</v>
      </c>
      <c r="O277" s="43">
        <f t="shared" si="107"/>
        <v>74.378116500453302</v>
      </c>
      <c r="P277" s="43">
        <v>21198.200000000004</v>
      </c>
      <c r="Q277" s="44">
        <f t="shared" si="99"/>
        <v>8.6489269374979277E-2</v>
      </c>
      <c r="R277" s="43">
        <f>6201897*Q277/100</f>
        <v>5363.9754026887585</v>
      </c>
      <c r="S277" s="43"/>
      <c r="T277" s="43"/>
      <c r="U277" s="43"/>
      <c r="V277" s="43"/>
      <c r="W277" s="43"/>
      <c r="X277" s="43">
        <f t="shared" si="100"/>
        <v>5363.9754026887585</v>
      </c>
      <c r="Y277" s="43">
        <v>6809.43</v>
      </c>
      <c r="Z277" s="43">
        <f t="shared" si="108"/>
        <v>6809.43</v>
      </c>
      <c r="AA277" s="43"/>
      <c r="AB277" s="43"/>
      <c r="AC277" s="43"/>
      <c r="AD277" s="43">
        <f t="shared" si="101"/>
        <v>6809.43</v>
      </c>
      <c r="AE277" s="43">
        <v>6183.4</v>
      </c>
      <c r="AF277" s="43"/>
      <c r="AG277" s="43"/>
      <c r="AH277" s="42">
        <f t="shared" si="102"/>
        <v>6183.4</v>
      </c>
      <c r="AI277" s="41">
        <v>5990.3</v>
      </c>
      <c r="AJ277" s="40">
        <v>8917.2000000000007</v>
      </c>
      <c r="AK277" s="49">
        <f>5870.2-1000</f>
        <v>4870.2</v>
      </c>
      <c r="AL277" s="39">
        <f t="shared" si="105"/>
        <v>4870.2</v>
      </c>
      <c r="AM277" s="49"/>
      <c r="AN277" s="49">
        <f t="shared" si="106"/>
        <v>4870.2</v>
      </c>
    </row>
    <row r="278" spans="1:40" s="18" customFormat="1" ht="13.2" x14ac:dyDescent="0.25">
      <c r="A278" s="46">
        <v>86120</v>
      </c>
      <c r="B278" s="45" t="s">
        <v>28</v>
      </c>
      <c r="C278" s="43">
        <v>10300</v>
      </c>
      <c r="D278" s="43">
        <f t="shared" si="93"/>
        <v>858.33333333333337</v>
      </c>
      <c r="E278" s="43">
        <v>496.3</v>
      </c>
      <c r="F278" s="43">
        <v>1658.1</v>
      </c>
      <c r="G278" s="43">
        <f t="shared" si="94"/>
        <v>2399.9</v>
      </c>
      <c r="H278" s="44">
        <f t="shared" si="95"/>
        <v>1.1872382381882721E-2</v>
      </c>
      <c r="I278" s="43">
        <v>3661.6</v>
      </c>
      <c r="J278" s="43"/>
      <c r="K278" s="43"/>
      <c r="L278" s="43">
        <f t="shared" si="103"/>
        <v>3661.6</v>
      </c>
      <c r="M278" s="43">
        <v>3626.99</v>
      </c>
      <c r="N278" s="43">
        <f t="shared" si="97"/>
        <v>-34.610000000000127</v>
      </c>
      <c r="O278" s="43">
        <f t="shared" si="107"/>
        <v>99.054784793532875</v>
      </c>
      <c r="P278" s="43">
        <v>4484</v>
      </c>
      <c r="Q278" s="44">
        <f t="shared" si="99"/>
        <v>1.8294849745610808E-2</v>
      </c>
      <c r="R278" s="43">
        <f>6201897*Q278/100+400</f>
        <v>1534.6277375275445</v>
      </c>
      <c r="S278" s="43"/>
      <c r="T278" s="43"/>
      <c r="U278" s="43"/>
      <c r="V278" s="43"/>
      <c r="W278" s="43"/>
      <c r="X278" s="43">
        <f t="shared" si="100"/>
        <v>1534.6277375275445</v>
      </c>
      <c r="Y278" s="43">
        <v>1081.33</v>
      </c>
      <c r="Z278" s="43">
        <f t="shared" si="108"/>
        <v>1081.33</v>
      </c>
      <c r="AA278" s="43"/>
      <c r="AB278" s="43"/>
      <c r="AC278" s="43"/>
      <c r="AD278" s="43">
        <f t="shared" si="101"/>
        <v>1081.33</v>
      </c>
      <c r="AE278" s="43">
        <f>3689.7-2000</f>
        <v>1689.6999999999998</v>
      </c>
      <c r="AF278" s="43"/>
      <c r="AG278" s="43"/>
      <c r="AH278" s="42">
        <f t="shared" si="102"/>
        <v>1689.6999999999998</v>
      </c>
      <c r="AI278" s="41">
        <v>860.3</v>
      </c>
      <c r="AJ278" s="40">
        <v>1191.5</v>
      </c>
      <c r="AK278" s="49"/>
      <c r="AL278" s="39">
        <f t="shared" si="105"/>
        <v>0</v>
      </c>
      <c r="AM278" s="49"/>
      <c r="AN278" s="49">
        <f t="shared" si="106"/>
        <v>0</v>
      </c>
    </row>
    <row r="279" spans="1:40" s="18" customFormat="1" ht="20.399999999999999" x14ac:dyDescent="0.25">
      <c r="A279" s="46">
        <v>87120</v>
      </c>
      <c r="B279" s="45" t="s">
        <v>27</v>
      </c>
      <c r="C279" s="43"/>
      <c r="D279" s="43"/>
      <c r="E279" s="43"/>
      <c r="F279" s="43"/>
      <c r="G279" s="43"/>
      <c r="H279" s="44"/>
      <c r="I279" s="43"/>
      <c r="J279" s="43"/>
      <c r="K279" s="43"/>
      <c r="L279" s="43">
        <v>4571.7</v>
      </c>
      <c r="M279" s="43">
        <v>4571.7</v>
      </c>
      <c r="N279" s="43">
        <f t="shared" si="97"/>
        <v>0</v>
      </c>
      <c r="O279" s="43">
        <f t="shared" si="107"/>
        <v>100</v>
      </c>
      <c r="P279" s="43">
        <v>3290.8</v>
      </c>
      <c r="Q279" s="44">
        <f t="shared" si="99"/>
        <v>1.3426559220083864E-2</v>
      </c>
      <c r="R279" s="43">
        <f>6201897*Q279/100</f>
        <v>832.70137347360446</v>
      </c>
      <c r="S279" s="43"/>
      <c r="T279" s="43">
        <v>1500</v>
      </c>
      <c r="U279" s="43"/>
      <c r="V279" s="43"/>
      <c r="W279" s="43"/>
      <c r="X279" s="43">
        <f t="shared" si="100"/>
        <v>2332.7013734736047</v>
      </c>
      <c r="Y279" s="43">
        <v>880.2</v>
      </c>
      <c r="Z279" s="43">
        <f t="shared" si="108"/>
        <v>880.2</v>
      </c>
      <c r="AA279" s="43"/>
      <c r="AB279" s="43"/>
      <c r="AC279" s="43">
        <v>2650</v>
      </c>
      <c r="AD279" s="43">
        <f t="shared" si="101"/>
        <v>3530.2</v>
      </c>
      <c r="AE279" s="43">
        <v>1362.8</v>
      </c>
      <c r="AF279" s="43"/>
      <c r="AG279" s="43"/>
      <c r="AH279" s="42">
        <f t="shared" si="102"/>
        <v>1362.8</v>
      </c>
      <c r="AI279" s="41">
        <f>2001.3+3748.1+537.1</f>
        <v>6286.5</v>
      </c>
      <c r="AJ279" s="40">
        <v>11825.300000000001</v>
      </c>
      <c r="AK279" s="49">
        <f>9762.3-7000</f>
        <v>2762.2999999999993</v>
      </c>
      <c r="AL279" s="39">
        <f t="shared" si="105"/>
        <v>2762.2999999999993</v>
      </c>
      <c r="AM279" s="49"/>
      <c r="AN279" s="49">
        <f t="shared" si="106"/>
        <v>2762.2999999999993</v>
      </c>
    </row>
    <row r="280" spans="1:40" s="18" customFormat="1" ht="13.2" x14ac:dyDescent="0.25">
      <c r="A280" s="46">
        <v>88121</v>
      </c>
      <c r="B280" s="45" t="s">
        <v>26</v>
      </c>
      <c r="C280" s="43">
        <v>17046399</v>
      </c>
      <c r="D280" s="43">
        <f>C280/12</f>
        <v>1420533.25</v>
      </c>
      <c r="E280" s="43">
        <v>1420533.3</v>
      </c>
      <c r="F280" s="43">
        <v>1420533.3</v>
      </c>
      <c r="G280" s="43">
        <f>C280*23.3/100</f>
        <v>3971810.9669999997</v>
      </c>
      <c r="H280" s="44">
        <f>(E280+F280)/(8725103.2+9421212.6)*100</f>
        <v>15.65643754530052</v>
      </c>
      <c r="I280" s="43">
        <v>1471672.4</v>
      </c>
      <c r="J280" s="43"/>
      <c r="K280" s="43"/>
      <c r="L280" s="43">
        <f>SUM(I280:K280)</f>
        <v>1471672.4</v>
      </c>
      <c r="M280" s="43">
        <v>1471672.4</v>
      </c>
      <c r="N280" s="43">
        <f t="shared" si="97"/>
        <v>0</v>
      </c>
      <c r="O280" s="43">
        <f t="shared" si="107"/>
        <v>100</v>
      </c>
      <c r="P280" s="43">
        <v>4312738.9000000004</v>
      </c>
      <c r="Q280" s="44"/>
      <c r="R280" s="43">
        <f>P280/3</f>
        <v>1437579.6333333335</v>
      </c>
      <c r="S280" s="43"/>
      <c r="T280" s="43"/>
      <c r="U280" s="43"/>
      <c r="V280" s="43"/>
      <c r="W280" s="43"/>
      <c r="X280" s="43">
        <f t="shared" si="100"/>
        <v>1437579.6333333335</v>
      </c>
      <c r="Y280" s="43">
        <v>1437579.63</v>
      </c>
      <c r="Z280" s="43">
        <f t="shared" si="108"/>
        <v>1437579.63</v>
      </c>
      <c r="AA280" s="43"/>
      <c r="AB280" s="43"/>
      <c r="AC280" s="43"/>
      <c r="AD280" s="43">
        <f t="shared" si="101"/>
        <v>1437579.63</v>
      </c>
      <c r="AE280" s="43">
        <v>1045801.3</v>
      </c>
      <c r="AF280" s="43"/>
      <c r="AG280" s="43"/>
      <c r="AH280" s="42">
        <f t="shared" si="102"/>
        <v>1045801.3</v>
      </c>
      <c r="AI280" s="41">
        <v>1420579.6</v>
      </c>
      <c r="AJ280" s="40">
        <v>1437333</v>
      </c>
      <c r="AK280" s="49">
        <v>1454826.3</v>
      </c>
      <c r="AL280" s="39">
        <f t="shared" si="105"/>
        <v>1454826.3</v>
      </c>
      <c r="AM280" s="49"/>
      <c r="AN280" s="49">
        <f t="shared" si="106"/>
        <v>1454826.3</v>
      </c>
    </row>
    <row r="281" spans="1:40" s="18" customFormat="1" ht="13.2" x14ac:dyDescent="0.25">
      <c r="A281" s="38"/>
      <c r="B281" s="37" t="s">
        <v>25</v>
      </c>
      <c r="C281" s="35">
        <f>SUM(C65:C280)-C114</f>
        <v>125767448.50000003</v>
      </c>
      <c r="D281" s="35">
        <f>SUM(D65:D280)-D114</f>
        <v>10480620.70833333</v>
      </c>
      <c r="E281" s="35">
        <f>SUM(E65:E280)-E114</f>
        <v>8725103.2000000011</v>
      </c>
      <c r="F281" s="35">
        <f>SUM(F65:F280)-F114</f>
        <v>9421212.5999999978</v>
      </c>
      <c r="G281" s="35">
        <f>SUM(G65:G280)</f>
        <v>29303815.500500005</v>
      </c>
      <c r="H281" s="36">
        <f>SUM(H65:H280)</f>
        <v>100.00004131999997</v>
      </c>
      <c r="I281" s="35">
        <f>SUM(I65:I280)</f>
        <v>10452065.308823457</v>
      </c>
      <c r="J281" s="35">
        <f>SUM(J65:J280)</f>
        <v>1484780.3819590027</v>
      </c>
      <c r="K281" s="35">
        <f>SUM(K65:K280)</f>
        <v>109617.7</v>
      </c>
      <c r="L281" s="35">
        <f>SUM(L65:L280)-L114</f>
        <v>12059580.190782463</v>
      </c>
      <c r="M281" s="35">
        <f>SUM(M65:M280)</f>
        <v>11495272.538999995</v>
      </c>
      <c r="N281" s="35">
        <f>SUM(N65:N280)</f>
        <v>-564307.65178247145</v>
      </c>
      <c r="O281" s="35">
        <f t="shared" si="107"/>
        <v>95.320669187027036</v>
      </c>
      <c r="P281" s="35">
        <f t="shared" ref="P281:AL281" si="109">SUM(P65:P280)</f>
        <v>34036112.225000009</v>
      </c>
      <c r="Q281" s="36">
        <f t="shared" si="109"/>
        <v>100.00000010200066</v>
      </c>
      <c r="R281" s="35">
        <f t="shared" si="109"/>
        <v>9874674.7396593112</v>
      </c>
      <c r="S281" s="35">
        <f t="shared" si="109"/>
        <v>1358177.2736486478</v>
      </c>
      <c r="T281" s="35">
        <f t="shared" si="109"/>
        <v>511671.09529519541</v>
      </c>
      <c r="U281" s="35">
        <f t="shared" si="109"/>
        <v>1337216.6047048045</v>
      </c>
      <c r="V281" s="35">
        <f t="shared" si="109"/>
        <v>95223</v>
      </c>
      <c r="W281" s="35">
        <f t="shared" si="109"/>
        <v>8914.4</v>
      </c>
      <c r="X281" s="35">
        <f t="shared" si="109"/>
        <v>13185877.113307962</v>
      </c>
      <c r="Y281" s="35">
        <f t="shared" si="109"/>
        <v>7536470.3219999988</v>
      </c>
      <c r="Z281" s="35">
        <f t="shared" si="109"/>
        <v>9336831.6636666656</v>
      </c>
      <c r="AA281" s="35">
        <f t="shared" si="109"/>
        <v>592423.29700000014</v>
      </c>
      <c r="AB281" s="35">
        <f t="shared" si="109"/>
        <v>381888.9</v>
      </c>
      <c r="AC281" s="35">
        <f t="shared" si="109"/>
        <v>814799.3</v>
      </c>
      <c r="AD281" s="35">
        <f t="shared" si="109"/>
        <v>11125943.160666659</v>
      </c>
      <c r="AE281" s="35">
        <f t="shared" si="109"/>
        <v>9531148.9340000041</v>
      </c>
      <c r="AF281" s="35">
        <f t="shared" si="109"/>
        <v>1426221.9310000001</v>
      </c>
      <c r="AG281" s="35">
        <f t="shared" si="109"/>
        <v>459156</v>
      </c>
      <c r="AH281" s="35">
        <f t="shared" si="109"/>
        <v>11416526.864999996</v>
      </c>
      <c r="AI281" s="34">
        <f t="shared" si="109"/>
        <v>10495360.800000003</v>
      </c>
      <c r="AJ281" s="33">
        <f t="shared" si="109"/>
        <v>12409964.599999992</v>
      </c>
      <c r="AK281" s="33">
        <f t="shared" si="109"/>
        <v>9672621.7333187256</v>
      </c>
      <c r="AL281" s="32">
        <f t="shared" si="109"/>
        <v>9672621.7333187256</v>
      </c>
      <c r="AM281" s="33">
        <f>SUM(AM65:AM280)</f>
        <v>1397966.2999999998</v>
      </c>
      <c r="AN281" s="33">
        <f>SUM(AN65:AN280)</f>
        <v>11070588.033318726</v>
      </c>
    </row>
    <row r="282" spans="1:40" s="18" customFormat="1" ht="13.2" x14ac:dyDescent="0.25">
      <c r="A282" s="6"/>
      <c r="B282" s="7"/>
      <c r="C282" s="6"/>
      <c r="D282" s="6"/>
      <c r="E282" s="3"/>
      <c r="F282" s="3"/>
      <c r="G282" s="3"/>
      <c r="H282" s="3"/>
      <c r="I282" s="30" t="e">
        <f>#REF!-I281</f>
        <v>#REF!</v>
      </c>
      <c r="J282" s="3"/>
      <c r="K282" s="3"/>
      <c r="L282" s="3"/>
      <c r="M282" s="3"/>
      <c r="N282" s="3"/>
      <c r="O282" s="31" t="s">
        <v>24</v>
      </c>
      <c r="P282" s="30">
        <f>P281-P280-P114</f>
        <v>24509630.125000011</v>
      </c>
      <c r="Q282" s="29"/>
      <c r="R282" s="28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5"/>
      <c r="AD282" s="3"/>
      <c r="AE282" s="3"/>
      <c r="AF282" s="3"/>
      <c r="AG282" s="3"/>
      <c r="AH282" s="3"/>
      <c r="AI282" s="3"/>
      <c r="AJ282" s="4"/>
      <c r="AK282" s="4"/>
      <c r="AL282" s="24">
        <f>SUM(AL65:AL280)</f>
        <v>9672621.7333187256</v>
      </c>
      <c r="AM282" s="4"/>
      <c r="AN282" s="4"/>
    </row>
    <row r="283" spans="1:40" s="18" customFormat="1" ht="13.2" hidden="1" x14ac:dyDescent="0.25">
      <c r="A283" s="6"/>
      <c r="B283" s="7"/>
      <c r="C283" s="6"/>
      <c r="D283" s="6"/>
      <c r="E283" s="3"/>
      <c r="F283" s="3"/>
      <c r="G283" s="3"/>
      <c r="H283" s="3"/>
      <c r="I283" s="30"/>
      <c r="J283" s="3"/>
      <c r="K283" s="3"/>
      <c r="L283" s="3"/>
      <c r="M283" s="3"/>
      <c r="N283" s="3"/>
      <c r="O283" s="31"/>
      <c r="P283" s="30"/>
      <c r="Q283" s="29"/>
      <c r="R283" s="28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5"/>
      <c r="AD283" s="3"/>
      <c r="AE283" s="3"/>
      <c r="AF283" s="3"/>
      <c r="AG283" s="3"/>
      <c r="AH283" s="3"/>
      <c r="AI283" s="4"/>
      <c r="AJ283" s="4"/>
      <c r="AK283" s="4"/>
      <c r="AL283" s="19"/>
      <c r="AM283" s="4"/>
      <c r="AN283" s="4"/>
    </row>
    <row r="284" spans="1:40" s="18" customFormat="1" ht="13.2" x14ac:dyDescent="0.25">
      <c r="A284" s="6"/>
      <c r="B284" s="7"/>
      <c r="C284" s="6"/>
      <c r="D284" s="6"/>
      <c r="E284" s="3"/>
      <c r="F284" s="3"/>
      <c r="G284" s="3"/>
      <c r="H284" s="3"/>
      <c r="I284" s="30"/>
      <c r="J284" s="3"/>
      <c r="K284" s="3"/>
      <c r="L284" s="3"/>
      <c r="M284" s="3"/>
      <c r="N284" s="3"/>
      <c r="O284" s="31"/>
      <c r="P284" s="30"/>
      <c r="Q284" s="29"/>
      <c r="R284" s="28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5"/>
      <c r="AD284" s="3"/>
      <c r="AE284" s="3"/>
      <c r="AF284" s="3"/>
      <c r="AG284" s="3"/>
      <c r="AH284" s="3"/>
      <c r="AI284" s="4"/>
      <c r="AJ284" s="4"/>
      <c r="AK284" s="4"/>
      <c r="AL284" s="19"/>
      <c r="AM284" s="4"/>
      <c r="AN284" s="4"/>
    </row>
    <row r="285" spans="1:40" s="18" customFormat="1" ht="13.2" x14ac:dyDescent="0.25">
      <c r="A285" s="6"/>
      <c r="B285" s="7"/>
      <c r="C285" s="6"/>
      <c r="D285" s="6"/>
      <c r="E285" s="3"/>
      <c r="F285" s="3"/>
      <c r="G285" s="3"/>
      <c r="H285" s="3"/>
      <c r="I285" s="30"/>
      <c r="J285" s="3"/>
      <c r="K285" s="3"/>
      <c r="L285" s="3"/>
      <c r="M285" s="3"/>
      <c r="N285" s="3"/>
      <c r="O285" s="31"/>
      <c r="P285" s="30"/>
      <c r="Q285" s="29"/>
      <c r="R285" s="28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5"/>
      <c r="AD285" s="3"/>
      <c r="AE285" s="3"/>
      <c r="AF285" s="3"/>
      <c r="AG285" s="3"/>
      <c r="AH285" s="3"/>
      <c r="AI285" s="4"/>
      <c r="AJ285" s="4"/>
      <c r="AK285" s="4"/>
      <c r="AL285" s="19"/>
      <c r="AM285" s="4"/>
      <c r="AN285" s="4"/>
    </row>
    <row r="286" spans="1:40" s="18" customFormat="1" ht="13.2" x14ac:dyDescent="0.25">
      <c r="A286" s="26"/>
      <c r="B286" s="27"/>
      <c r="C286" s="26"/>
      <c r="D286" s="26"/>
      <c r="E286" s="20"/>
      <c r="F286" s="20"/>
      <c r="G286" s="20"/>
      <c r="H286" s="20"/>
      <c r="I286" s="24"/>
      <c r="J286" s="20"/>
      <c r="K286" s="20"/>
      <c r="L286" s="20"/>
      <c r="M286" s="20"/>
      <c r="N286" s="20"/>
      <c r="O286" s="25"/>
      <c r="P286" s="24"/>
      <c r="Q286" s="23"/>
      <c r="R286" s="22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1"/>
      <c r="AD286" s="20"/>
      <c r="AE286" s="20"/>
      <c r="AF286" s="20"/>
      <c r="AG286" s="20"/>
      <c r="AH286" s="20"/>
      <c r="AI286" s="19"/>
      <c r="AJ286" s="19"/>
      <c r="AK286" s="4"/>
      <c r="AL286" s="19"/>
      <c r="AM286" s="4"/>
      <c r="AN286" s="4"/>
    </row>
    <row r="287" spans="1:40" s="18" customFormat="1" ht="13.2" x14ac:dyDescent="0.25">
      <c r="A287" s="6"/>
      <c r="B287" s="7"/>
      <c r="C287" s="6"/>
      <c r="D287" s="6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5"/>
      <c r="AD287" s="3"/>
      <c r="AE287" s="3"/>
      <c r="AF287" s="3"/>
      <c r="AG287" s="3"/>
      <c r="AH287" s="3"/>
      <c r="AI287" s="3"/>
      <c r="AJ287" s="2"/>
      <c r="AK287" s="4"/>
      <c r="AL287" s="19"/>
      <c r="AM287" s="4"/>
      <c r="AN287" s="4"/>
    </row>
    <row r="288" spans="1:40" s="2" customFormat="1" ht="20.399999999999999" x14ac:dyDescent="0.2">
      <c r="A288" s="6"/>
      <c r="B288" s="142" t="s">
        <v>23</v>
      </c>
      <c r="C288" s="142"/>
      <c r="D288" s="142"/>
      <c r="E288" s="105" t="s">
        <v>22</v>
      </c>
      <c r="F288" s="105" t="s">
        <v>21</v>
      </c>
      <c r="G288" s="105" t="s">
        <v>20</v>
      </c>
      <c r="H288" s="15"/>
      <c r="I288" s="15"/>
      <c r="J288" s="105" t="s">
        <v>19</v>
      </c>
      <c r="K288" s="105" t="s">
        <v>19</v>
      </c>
      <c r="L288" s="105" t="s">
        <v>18</v>
      </c>
      <c r="M288" s="105" t="s">
        <v>17</v>
      </c>
      <c r="N288" s="105"/>
      <c r="O288" s="105"/>
      <c r="P288" s="105"/>
      <c r="Q288" s="15"/>
      <c r="R288" s="105" t="s">
        <v>16</v>
      </c>
      <c r="S288" s="105" t="s">
        <v>16</v>
      </c>
      <c r="T288" s="105" t="s">
        <v>16</v>
      </c>
      <c r="U288" s="105" t="s">
        <v>16</v>
      </c>
      <c r="V288" s="105" t="s">
        <v>16</v>
      </c>
      <c r="W288" s="105" t="s">
        <v>16</v>
      </c>
      <c r="X288" s="105" t="s">
        <v>15</v>
      </c>
      <c r="Y288" s="17"/>
      <c r="Z288" s="105" t="s">
        <v>14</v>
      </c>
      <c r="AA288" s="105" t="s">
        <v>14</v>
      </c>
      <c r="AB288" s="105" t="s">
        <v>14</v>
      </c>
      <c r="AC288" s="105" t="s">
        <v>14</v>
      </c>
      <c r="AD288" s="105" t="s">
        <v>13</v>
      </c>
      <c r="AE288" s="105" t="s">
        <v>12</v>
      </c>
      <c r="AF288" s="105" t="s">
        <v>12</v>
      </c>
      <c r="AG288" s="105" t="s">
        <v>12</v>
      </c>
      <c r="AH288" s="105" t="s">
        <v>11</v>
      </c>
      <c r="AI288" s="105" t="s">
        <v>10</v>
      </c>
      <c r="AJ288" s="105" t="s">
        <v>329</v>
      </c>
      <c r="AK288" s="105" t="s">
        <v>330</v>
      </c>
      <c r="AL288" s="105" t="s">
        <v>330</v>
      </c>
      <c r="AM288" s="105" t="s">
        <v>330</v>
      </c>
      <c r="AN288" s="105" t="s">
        <v>330</v>
      </c>
    </row>
    <row r="289" spans="1:40" s="2" customFormat="1" ht="10.199999999999999" x14ac:dyDescent="0.2">
      <c r="A289" s="6"/>
      <c r="B289" s="143" t="s">
        <v>9</v>
      </c>
      <c r="C289" s="143"/>
      <c r="D289" s="143"/>
      <c r="E289" s="13">
        <f>1451400+47400+103400+279700+2015000+4696600+49800+210000</f>
        <v>8853300</v>
      </c>
      <c r="F289" s="13">
        <f>-895000+47400+103400+279700+2015000+4696600+49800+210000</f>
        <v>6506900</v>
      </c>
      <c r="G289" s="13">
        <f>-2204600+47400+103400+279700+1740000+2232100+4547500+49800+210000</f>
        <v>7005300</v>
      </c>
      <c r="H289" s="15"/>
      <c r="I289" s="15"/>
      <c r="J289" s="13">
        <f>SUM(J290:J291)</f>
        <v>4543899.3911765432</v>
      </c>
      <c r="K289" s="13">
        <f>SUM(K290:K291)</f>
        <v>3059119.0092175407</v>
      </c>
      <c r="L289" s="13">
        <f>SUM(L290:L291)</f>
        <v>6636384.5092175361</v>
      </c>
      <c r="M289" s="13">
        <f>SUM(M290:M291)</f>
        <v>7317527.4610000048</v>
      </c>
      <c r="N289" s="13"/>
      <c r="O289" s="13"/>
      <c r="P289" s="13"/>
      <c r="Q289" s="15"/>
      <c r="R289" s="13">
        <f t="shared" ref="R289:X289" si="110">SUM(R290:R291)</f>
        <v>3644749.7213406935</v>
      </c>
      <c r="S289" s="13">
        <f t="shared" si="110"/>
        <v>3298822.4476920459</v>
      </c>
      <c r="T289" s="13">
        <f t="shared" si="110"/>
        <v>3404171.3523968505</v>
      </c>
      <c r="U289" s="13">
        <f t="shared" si="110"/>
        <v>1149934.7476920458</v>
      </c>
      <c r="V289" s="13">
        <f t="shared" si="110"/>
        <v>1054711.7476920458</v>
      </c>
      <c r="W289" s="13">
        <f t="shared" si="110"/>
        <v>1045797.3476920454</v>
      </c>
      <c r="X289" s="13">
        <f t="shared" si="110"/>
        <v>2944200</v>
      </c>
      <c r="Y289" s="14"/>
      <c r="Z289" s="13">
        <f t="shared" ref="Z289:AI289" si="111">SUM(Z290:Z291)</f>
        <v>2944200.0363333337</v>
      </c>
      <c r="AA289" s="13">
        <f t="shared" si="111"/>
        <v>2351776.7393333334</v>
      </c>
      <c r="AB289" s="13">
        <f t="shared" si="111"/>
        <v>1969887.8393333335</v>
      </c>
      <c r="AC289" s="13">
        <f t="shared" si="111"/>
        <v>1155088.5393333333</v>
      </c>
      <c r="AD289" s="13">
        <f t="shared" si="111"/>
        <v>2267300</v>
      </c>
      <c r="AE289" s="13">
        <f t="shared" si="111"/>
        <v>2863236.8659999948</v>
      </c>
      <c r="AF289" s="13">
        <f t="shared" si="111"/>
        <v>1494606.2349999947</v>
      </c>
      <c r="AG289" s="13">
        <f t="shared" si="111"/>
        <v>-516584.76500000525</v>
      </c>
      <c r="AH289" s="13">
        <f t="shared" si="111"/>
        <v>2111000</v>
      </c>
      <c r="AI289" s="13">
        <f t="shared" si="111"/>
        <v>3620400</v>
      </c>
      <c r="AJ289" s="12">
        <f>AJ290+AJ291</f>
        <v>1905200</v>
      </c>
      <c r="AK289" s="98">
        <f>AK290+AK291</f>
        <v>2068845.866681274</v>
      </c>
      <c r="AL289" s="12">
        <f>AL290+AL291</f>
        <v>3535545.866681274</v>
      </c>
      <c r="AM289" s="98">
        <f>AM290+AM291</f>
        <v>670879.56668127421</v>
      </c>
      <c r="AN289" s="98">
        <f>AN290+AN291</f>
        <v>670879.56668127328</v>
      </c>
    </row>
    <row r="290" spans="1:40" s="2" customFormat="1" ht="10.199999999999999" x14ac:dyDescent="0.2">
      <c r="A290" s="6"/>
      <c r="B290" s="141" t="s">
        <v>8</v>
      </c>
      <c r="C290" s="141"/>
      <c r="D290" s="141"/>
      <c r="E290" s="13">
        <v>1451400</v>
      </c>
      <c r="F290" s="13">
        <v>-895000</v>
      </c>
      <c r="G290" s="13">
        <v>-2204600</v>
      </c>
      <c r="H290" s="15"/>
      <c r="I290" s="15"/>
      <c r="J290" s="13">
        <f>G290+I17-I281</f>
        <v>-4666000.6088234568</v>
      </c>
      <c r="K290" s="13">
        <f>J290-J281</f>
        <v>-6150780.9907824593</v>
      </c>
      <c r="L290" s="13">
        <f>-2204600+L17-L281</f>
        <v>-2573515.4907824639</v>
      </c>
      <c r="M290" s="13">
        <f>-2169800+M17-M281</f>
        <v>-1892372.5389999952</v>
      </c>
      <c r="N290" s="13"/>
      <c r="O290" s="13"/>
      <c r="P290" s="13"/>
      <c r="Q290" s="15"/>
      <c r="R290" s="13">
        <f>M290+R17-R281</f>
        <v>-5565150.2786593065</v>
      </c>
      <c r="S290" s="13">
        <f>R290+S17-S281</f>
        <v>-5911077.5523079541</v>
      </c>
      <c r="T290" s="13">
        <f>S290+T17-T281</f>
        <v>-5805728.6476031495</v>
      </c>
      <c r="U290" s="13">
        <f>T290+U17-U281</f>
        <v>-8059965.2523079542</v>
      </c>
      <c r="V290" s="13">
        <f>U290+V17-V281</f>
        <v>-8155188.2523079542</v>
      </c>
      <c r="W290" s="13">
        <f>V290+W17-W281</f>
        <v>-8164102.6523079546</v>
      </c>
      <c r="X290" s="13">
        <f>10764100-9209900+8395500-16215400</f>
        <v>-6265700</v>
      </c>
      <c r="Y290" s="14"/>
      <c r="Z290" s="13">
        <f>X290+Z17-Z281+AD292</f>
        <v>-2156599.9636666663</v>
      </c>
      <c r="AA290" s="13">
        <f>Z290+AA17-AA281</f>
        <v>-2749023.2606666666</v>
      </c>
      <c r="AB290" s="13">
        <f>AA290+AB17-AB281</f>
        <v>-3130912.1606666665</v>
      </c>
      <c r="AC290" s="13">
        <f>AB290+AC17-AC281</f>
        <v>-3945711.4606666667</v>
      </c>
      <c r="AD290" s="13">
        <f>5728100-AD291+10047400-13508200</f>
        <v>-2556100</v>
      </c>
      <c r="AE290" s="13">
        <f>AD290+AE17-AE281</f>
        <v>-1960163.1340000052</v>
      </c>
      <c r="AF290" s="13">
        <f>AE290+AF17-AF281-(AF291-AE291)</f>
        <v>-4323893.7650000053</v>
      </c>
      <c r="AG290" s="13">
        <f>AF290+AG17-AG281</f>
        <v>-6335084.7650000053</v>
      </c>
      <c r="AH290" s="13">
        <v>-3707500</v>
      </c>
      <c r="AI290" s="13">
        <f>1533300+2087100-AI291</f>
        <v>-2098100</v>
      </c>
      <c r="AJ290" s="12">
        <f>6848100+9689500-14632400-AJ291</f>
        <v>-1470700</v>
      </c>
      <c r="AK290" s="98">
        <f>AJ290+AK17-AK281</f>
        <v>-1307054.133318726</v>
      </c>
      <c r="AL290" s="12">
        <f>AJ290+AL17-AL281</f>
        <v>-1307054.133318726</v>
      </c>
      <c r="AM290" s="98">
        <f>AK290+AM17-AM281</f>
        <v>-2705020.4333187258</v>
      </c>
      <c r="AN290" s="98">
        <f>AJ290+AN17-AN281</f>
        <v>-2705020.4333187267</v>
      </c>
    </row>
    <row r="291" spans="1:40" s="2" customFormat="1" ht="10.199999999999999" x14ac:dyDescent="0.2">
      <c r="A291" s="6"/>
      <c r="B291" s="141" t="s">
        <v>7</v>
      </c>
      <c r="C291" s="141"/>
      <c r="D291" s="141"/>
      <c r="E291" s="13">
        <f>E289-E290</f>
        <v>7401900</v>
      </c>
      <c r="F291" s="13">
        <f>F289-F290</f>
        <v>7401900</v>
      </c>
      <c r="G291" s="13">
        <f>G289-G290</f>
        <v>9209900</v>
      </c>
      <c r="H291" s="15"/>
      <c r="I291" s="15"/>
      <c r="J291" s="13">
        <v>9209900</v>
      </c>
      <c r="K291" s="13">
        <f>J291</f>
        <v>9209900</v>
      </c>
      <c r="L291" s="13">
        <v>9209900</v>
      </c>
      <c r="M291" s="13">
        <v>9209900</v>
      </c>
      <c r="N291" s="13"/>
      <c r="O291" s="13"/>
      <c r="P291" s="13"/>
      <c r="Q291" s="15"/>
      <c r="R291" s="13">
        <f>M291</f>
        <v>9209900</v>
      </c>
      <c r="S291" s="13">
        <f>R291</f>
        <v>9209900</v>
      </c>
      <c r="T291" s="13">
        <f>S291</f>
        <v>9209900</v>
      </c>
      <c r="U291" s="13">
        <f>T291</f>
        <v>9209900</v>
      </c>
      <c r="V291" s="13">
        <f>U291</f>
        <v>9209900</v>
      </c>
      <c r="W291" s="13">
        <f>V291</f>
        <v>9209900</v>
      </c>
      <c r="X291" s="13">
        <f>M291</f>
        <v>9209900</v>
      </c>
      <c r="Y291" s="14"/>
      <c r="Z291" s="13">
        <f>X291-AD292</f>
        <v>5100800</v>
      </c>
      <c r="AA291" s="13">
        <f>Z291</f>
        <v>5100800</v>
      </c>
      <c r="AB291" s="13">
        <f>AA291</f>
        <v>5100800</v>
      </c>
      <c r="AC291" s="13">
        <f>AB291</f>
        <v>5100800</v>
      </c>
      <c r="AD291" s="13">
        <f>X291-AD292-277400</f>
        <v>4823400</v>
      </c>
      <c r="AE291" s="13">
        <f>AD291</f>
        <v>4823400</v>
      </c>
      <c r="AF291" s="13">
        <v>5818500</v>
      </c>
      <c r="AG291" s="13">
        <v>5818500</v>
      </c>
      <c r="AH291" s="13">
        <f>AF291</f>
        <v>5818500</v>
      </c>
      <c r="AI291" s="13">
        <f>5818500-100000</f>
        <v>5718500</v>
      </c>
      <c r="AJ291" s="13">
        <v>3375900</v>
      </c>
      <c r="AK291" s="98">
        <v>3375900</v>
      </c>
      <c r="AL291" s="12">
        <f>5718500-875900</f>
        <v>4842600</v>
      </c>
      <c r="AM291" s="98">
        <v>3375900</v>
      </c>
      <c r="AN291" s="98">
        <v>3375900</v>
      </c>
    </row>
    <row r="292" spans="1:40" s="2" customFormat="1" ht="10.199999999999999" x14ac:dyDescent="0.2">
      <c r="A292" s="6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3"/>
      <c r="Z292" s="3"/>
      <c r="AA292" s="3"/>
      <c r="AB292" s="3"/>
      <c r="AC292" s="5"/>
      <c r="AD292" s="11">
        <f>49800+210000+103400+63000+784000+1548700+1350200</f>
        <v>4109100</v>
      </c>
      <c r="AE292" s="3"/>
      <c r="AF292" s="3"/>
      <c r="AG292" s="3"/>
      <c r="AH292" s="3"/>
      <c r="AI292" s="3"/>
      <c r="AJ292" s="4"/>
      <c r="AK292" s="4"/>
    </row>
    <row r="293" spans="1:40" s="2" customFormat="1" ht="10.199999999999999" x14ac:dyDescent="0.2">
      <c r="A293" s="6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3"/>
      <c r="Z293" s="3"/>
      <c r="AA293" s="3"/>
      <c r="AB293" s="3"/>
      <c r="AC293" s="5"/>
      <c r="AD293" s="11"/>
      <c r="AE293" s="3"/>
      <c r="AF293" s="3"/>
      <c r="AG293" s="3"/>
      <c r="AH293" s="3"/>
      <c r="AI293" s="3"/>
      <c r="AJ293" s="4"/>
      <c r="AK293" s="4"/>
      <c r="AL293" s="4"/>
    </row>
    <row r="294" spans="1:40" s="2" customFormat="1" ht="10.199999999999999" x14ac:dyDescent="0.2">
      <c r="A294" s="6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3"/>
      <c r="Z294" s="3"/>
      <c r="AA294" s="3"/>
      <c r="AB294" s="3"/>
      <c r="AC294" s="5"/>
      <c r="AD294" s="11"/>
      <c r="AE294" s="3"/>
      <c r="AF294" s="3"/>
      <c r="AG294" s="3"/>
      <c r="AH294" s="3"/>
      <c r="AI294" s="3"/>
      <c r="AJ294" s="4"/>
      <c r="AK294" s="4"/>
      <c r="AL294" s="3"/>
    </row>
    <row r="295" spans="1:40" s="2" customFormat="1" ht="10.199999999999999" x14ac:dyDescent="0.2">
      <c r="A295" s="6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3"/>
      <c r="Z295" s="3"/>
      <c r="AA295" s="3"/>
      <c r="AB295" s="3"/>
      <c r="AC295" s="5"/>
      <c r="AD295" s="3"/>
      <c r="AE295" s="3"/>
      <c r="AF295" s="3"/>
      <c r="AG295" s="3"/>
      <c r="AH295" s="3"/>
      <c r="AI295" s="3"/>
      <c r="AJ295" s="4"/>
      <c r="AK295" s="4"/>
      <c r="AL295" s="3"/>
    </row>
    <row r="296" spans="1:40" s="2" customFormat="1" ht="10.199999999999999" x14ac:dyDescent="0.2">
      <c r="A296" s="6"/>
      <c r="AL296" s="3"/>
    </row>
    <row r="297" spans="1:40" s="2" customFormat="1" ht="10.199999999999999" x14ac:dyDescent="0.2">
      <c r="A297" s="6"/>
      <c r="AL297" s="3"/>
    </row>
    <row r="298" spans="1:40" s="2" customFormat="1" ht="12" customHeight="1" x14ac:dyDescent="0.2">
      <c r="A298" s="6"/>
      <c r="AK298" s="4"/>
      <c r="AL298" s="3"/>
    </row>
    <row r="299" spans="1:40" s="2" customFormat="1" ht="12" customHeight="1" x14ac:dyDescent="0.2">
      <c r="A299" s="6"/>
      <c r="AK299" s="4"/>
      <c r="AL299" s="3"/>
    </row>
    <row r="300" spans="1:40" s="2" customFormat="1" ht="10.199999999999999" x14ac:dyDescent="0.2">
      <c r="A300" s="6"/>
      <c r="AK300" s="4"/>
      <c r="AL300" s="3"/>
    </row>
    <row r="301" spans="1:40" s="2" customFormat="1" ht="12" customHeight="1" x14ac:dyDescent="0.2">
      <c r="A301" s="6"/>
      <c r="AK301" s="4"/>
      <c r="AL301" s="3"/>
    </row>
    <row r="302" spans="1:40" s="2" customFormat="1" ht="10.199999999999999" x14ac:dyDescent="0.2">
      <c r="A302" s="6"/>
      <c r="B302" s="9" t="s">
        <v>334</v>
      </c>
      <c r="C302" s="9"/>
      <c r="D302" s="9"/>
      <c r="E302" s="9"/>
      <c r="F302" s="7"/>
      <c r="AK302" s="4"/>
      <c r="AL302" s="3"/>
    </row>
    <row r="303" spans="1:40" s="2" customFormat="1" ht="10.199999999999999" x14ac:dyDescent="0.2">
      <c r="B303" s="9" t="s">
        <v>335</v>
      </c>
      <c r="C303" s="9"/>
      <c r="D303" s="9"/>
      <c r="E303" s="9"/>
      <c r="F303" s="7"/>
      <c r="AJ303" s="10" t="s">
        <v>336</v>
      </c>
      <c r="AK303" s="4"/>
    </row>
    <row r="304" spans="1:40" s="2" customFormat="1" x14ac:dyDescent="0.3">
      <c r="A304" s="1"/>
      <c r="B304" s="9"/>
      <c r="C304" s="9"/>
      <c r="D304" s="9"/>
      <c r="E304" s="9"/>
      <c r="F304" s="7"/>
      <c r="G304" s="7"/>
      <c r="H304" s="6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7"/>
      <c r="Y304" s="7"/>
      <c r="Z304" s="7"/>
      <c r="AA304" s="7"/>
      <c r="AB304" s="7"/>
      <c r="AC304" s="7"/>
      <c r="AD304" s="7"/>
      <c r="AE304" s="3"/>
      <c r="AF304" s="3"/>
      <c r="AG304" s="3"/>
      <c r="AH304" s="3"/>
      <c r="AI304" s="3"/>
      <c r="AJ304" s="10"/>
      <c r="AK304" s="4"/>
    </row>
    <row r="305" spans="1:37" s="2" customFormat="1" ht="12.75" customHeight="1" x14ac:dyDescent="0.3">
      <c r="A305" s="1"/>
      <c r="B305" s="9"/>
      <c r="C305" s="9"/>
      <c r="D305" s="9"/>
      <c r="E305" s="9"/>
      <c r="F305" s="7"/>
      <c r="G305" s="7"/>
      <c r="H305" s="6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7"/>
      <c r="Y305" s="7"/>
      <c r="Z305" s="7"/>
      <c r="AA305" s="7"/>
      <c r="AB305" s="7"/>
      <c r="AC305" s="7"/>
      <c r="AD305" s="7"/>
      <c r="AE305" s="3"/>
      <c r="AF305" s="3"/>
      <c r="AG305" s="3"/>
      <c r="AH305" s="3"/>
      <c r="AI305" s="3"/>
      <c r="AJ305" s="10"/>
      <c r="AK305" s="102"/>
    </row>
    <row r="306" spans="1:37" ht="11.25" customHeight="1" x14ac:dyDescent="0.3">
      <c r="B306" s="9"/>
      <c r="C306" s="9"/>
      <c r="D306" s="9"/>
      <c r="E306" s="9"/>
      <c r="F306" s="7"/>
      <c r="G306" s="7"/>
      <c r="H306" s="6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7"/>
      <c r="Y306" s="7"/>
      <c r="Z306" s="7"/>
      <c r="AA306" s="7"/>
      <c r="AB306" s="7"/>
      <c r="AC306" s="7"/>
      <c r="AD306" s="7"/>
      <c r="AE306" s="3"/>
      <c r="AF306" s="3"/>
      <c r="AG306" s="3"/>
      <c r="AH306" s="3"/>
      <c r="AI306" s="3"/>
      <c r="AJ306" s="3"/>
    </row>
    <row r="307" spans="1:37" x14ac:dyDescent="0.3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7" x14ac:dyDescent="0.3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7" x14ac:dyDescent="0.3">
      <c r="B309" s="9" t="s">
        <v>6</v>
      </c>
      <c r="C309" s="9"/>
      <c r="D309" s="9"/>
      <c r="E309" s="9"/>
      <c r="F309" s="7"/>
      <c r="G309" s="7"/>
      <c r="H309" s="6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5"/>
      <c r="AD309" s="3"/>
      <c r="AE309" s="3"/>
      <c r="AF309" s="3"/>
      <c r="AG309" s="3"/>
      <c r="AH309" s="3"/>
      <c r="AI309" s="3"/>
      <c r="AJ309" s="4"/>
    </row>
    <row r="310" spans="1:37" x14ac:dyDescent="0.3">
      <c r="B310" s="9" t="s">
        <v>5</v>
      </c>
      <c r="C310" s="9"/>
      <c r="D310" s="9"/>
      <c r="E310" s="9"/>
      <c r="F310" s="7"/>
      <c r="G310" s="7"/>
      <c r="H310" s="6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7"/>
      <c r="Y310" s="7"/>
      <c r="Z310" s="7"/>
      <c r="AA310" s="7"/>
      <c r="AB310" s="7"/>
      <c r="AC310" s="7"/>
      <c r="AD310" s="7"/>
      <c r="AE310" s="3"/>
      <c r="AF310" s="3"/>
      <c r="AG310" s="3"/>
      <c r="AH310" s="3"/>
      <c r="AI310" s="3"/>
      <c r="AJ310" s="10" t="s">
        <v>337</v>
      </c>
    </row>
    <row r="322" spans="2:2" x14ac:dyDescent="0.3">
      <c r="B322" s="106"/>
    </row>
    <row r="323" spans="2:2" x14ac:dyDescent="0.3">
      <c r="B323" s="106"/>
    </row>
    <row r="330" spans="2:2" x14ac:dyDescent="0.3">
      <c r="B330" s="106" t="s">
        <v>332</v>
      </c>
    </row>
    <row r="331" spans="2:2" x14ac:dyDescent="0.3">
      <c r="B331" s="106" t="s">
        <v>333</v>
      </c>
    </row>
  </sheetData>
  <mergeCells count="8">
    <mergeCell ref="B290:D290"/>
    <mergeCell ref="B291:D291"/>
    <mergeCell ref="A12:AN12"/>
    <mergeCell ref="A13:AN13"/>
    <mergeCell ref="A14:AN14"/>
    <mergeCell ref="B63:H63"/>
    <mergeCell ref="B288:D288"/>
    <mergeCell ref="B289:D289"/>
  </mergeCells>
  <pageMargins left="0.27559055118110237" right="0.15748031496062992" top="0.23622047244094491" bottom="0.41" header="0.15748031496062992" footer="0.27"/>
  <pageSetup paperSize="9" scale="85" fitToHeight="0" orientation="landscape" r:id="rId1"/>
  <headerFooter>
    <oddFooter>&amp;R&amp;P</oddFooter>
  </headerFooter>
  <colBreaks count="1" manualBreakCount="1">
    <brk id="3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226"/>
  <sheetViews>
    <sheetView showZeros="0" tabSelected="1" view="pageBreakPreview" zoomScale="120" zoomScaleNormal="120" zoomScaleSheetLayoutView="120" workbookViewId="0">
      <selection activeCell="B1" sqref="B1"/>
    </sheetView>
  </sheetViews>
  <sheetFormatPr defaultColWidth="9.28515625" defaultRowHeight="15.6" x14ac:dyDescent="0.3"/>
  <cols>
    <col min="1" max="1" width="7.42578125" style="103" customWidth="1"/>
    <col min="2" max="2" width="48.42578125" style="103" customWidth="1"/>
    <col min="3" max="3" width="17" style="1" customWidth="1"/>
    <col min="4" max="16384" width="9.28515625" style="1"/>
  </cols>
  <sheetData>
    <row r="1" spans="1:3" s="124" customFormat="1" ht="33.75" customHeight="1" x14ac:dyDescent="0.25">
      <c r="A1" s="127" t="s">
        <v>273</v>
      </c>
      <c r="B1" s="128" t="s">
        <v>719</v>
      </c>
      <c r="C1" s="119" t="s">
        <v>718</v>
      </c>
    </row>
    <row r="2" spans="1:3" s="124" customFormat="1" ht="12" x14ac:dyDescent="0.25">
      <c r="A2" s="122" t="s">
        <v>368</v>
      </c>
      <c r="B2" s="123" t="s">
        <v>369</v>
      </c>
      <c r="C2" s="133">
        <v>40719.300000000003</v>
      </c>
    </row>
    <row r="3" spans="1:3" s="124" customFormat="1" ht="24" x14ac:dyDescent="0.25">
      <c r="A3" s="122" t="s">
        <v>370</v>
      </c>
      <c r="B3" s="123" t="s">
        <v>371</v>
      </c>
      <c r="C3" s="133">
        <v>7691.5</v>
      </c>
    </row>
    <row r="4" spans="1:3" s="124" customFormat="1" ht="24" x14ac:dyDescent="0.25">
      <c r="A4" s="122" t="s">
        <v>372</v>
      </c>
      <c r="B4" s="123" t="s">
        <v>373</v>
      </c>
      <c r="C4" s="133">
        <v>4206</v>
      </c>
    </row>
    <row r="5" spans="1:3" s="124" customFormat="1" ht="24" x14ac:dyDescent="0.25">
      <c r="A5" s="122" t="s">
        <v>374</v>
      </c>
      <c r="B5" s="123" t="s">
        <v>375</v>
      </c>
      <c r="C5" s="133">
        <v>1517.3</v>
      </c>
    </row>
    <row r="6" spans="1:3" s="124" customFormat="1" ht="24" x14ac:dyDescent="0.25">
      <c r="A6" s="122" t="s">
        <v>376</v>
      </c>
      <c r="B6" s="123" t="s">
        <v>377</v>
      </c>
      <c r="C6" s="133">
        <v>9840.7000000000007</v>
      </c>
    </row>
    <row r="7" spans="1:3" s="124" customFormat="1" ht="24" x14ac:dyDescent="0.25">
      <c r="A7" s="122" t="s">
        <v>378</v>
      </c>
      <c r="B7" s="123" t="s">
        <v>379</v>
      </c>
      <c r="C7" s="133">
        <v>586.20000000000005</v>
      </c>
    </row>
    <row r="8" spans="1:3" s="124" customFormat="1" ht="24" x14ac:dyDescent="0.25">
      <c r="A8" s="122" t="s">
        <v>380</v>
      </c>
      <c r="B8" s="123" t="s">
        <v>381</v>
      </c>
      <c r="C8" s="133">
        <v>2192.3000000000002</v>
      </c>
    </row>
    <row r="9" spans="1:3" s="124" customFormat="1" ht="12" x14ac:dyDescent="0.25">
      <c r="A9" s="122" t="s">
        <v>382</v>
      </c>
      <c r="B9" s="123" t="s">
        <v>383</v>
      </c>
      <c r="C9" s="133">
        <v>662.7</v>
      </c>
    </row>
    <row r="10" spans="1:3" s="124" customFormat="1" ht="12" x14ac:dyDescent="0.25">
      <c r="A10" s="122" t="s">
        <v>384</v>
      </c>
      <c r="B10" s="123" t="s">
        <v>385</v>
      </c>
      <c r="C10" s="133">
        <v>13369.3</v>
      </c>
    </row>
    <row r="11" spans="1:3" s="124" customFormat="1" ht="24" x14ac:dyDescent="0.25">
      <c r="A11" s="122" t="s">
        <v>386</v>
      </c>
      <c r="B11" s="123" t="s">
        <v>387</v>
      </c>
      <c r="C11" s="133">
        <v>2500</v>
      </c>
    </row>
    <row r="12" spans="1:3" s="124" customFormat="1" ht="24" x14ac:dyDescent="0.25">
      <c r="A12" s="122" t="s">
        <v>388</v>
      </c>
      <c r="B12" s="123" t="s">
        <v>389</v>
      </c>
      <c r="C12" s="133">
        <v>38662.6</v>
      </c>
    </row>
    <row r="13" spans="1:3" s="124" customFormat="1" ht="24" x14ac:dyDescent="0.25">
      <c r="A13" s="122" t="s">
        <v>390</v>
      </c>
      <c r="B13" s="123" t="s">
        <v>391</v>
      </c>
      <c r="C13" s="133">
        <v>1208.3</v>
      </c>
    </row>
    <row r="14" spans="1:3" s="124" customFormat="1" ht="12" x14ac:dyDescent="0.25">
      <c r="A14" s="122" t="s">
        <v>392</v>
      </c>
      <c r="B14" s="123" t="s">
        <v>226</v>
      </c>
      <c r="C14" s="133">
        <v>4818.8</v>
      </c>
    </row>
    <row r="15" spans="1:3" s="124" customFormat="1" ht="12" x14ac:dyDescent="0.25">
      <c r="A15" s="122" t="s">
        <v>393</v>
      </c>
      <c r="B15" s="123" t="s">
        <v>394</v>
      </c>
      <c r="C15" s="133">
        <v>10839.5</v>
      </c>
    </row>
    <row r="16" spans="1:3" s="124" customFormat="1" ht="24" x14ac:dyDescent="0.25">
      <c r="A16" s="122" t="s">
        <v>395</v>
      </c>
      <c r="B16" s="123" t="s">
        <v>396</v>
      </c>
      <c r="C16" s="133">
        <v>1588.1</v>
      </c>
    </row>
    <row r="17" spans="1:3" s="124" customFormat="1" ht="24" x14ac:dyDescent="0.25">
      <c r="A17" s="122" t="s">
        <v>397</v>
      </c>
      <c r="B17" s="123" t="s">
        <v>398</v>
      </c>
      <c r="C17" s="133">
        <v>4195.2</v>
      </c>
    </row>
    <row r="18" spans="1:3" s="124" customFormat="1" ht="24" x14ac:dyDescent="0.25">
      <c r="A18" s="122" t="s">
        <v>399</v>
      </c>
      <c r="B18" s="123" t="s">
        <v>400</v>
      </c>
      <c r="C18" s="133">
        <v>3364.2</v>
      </c>
    </row>
    <row r="19" spans="1:3" s="124" customFormat="1" ht="36" x14ac:dyDescent="0.25">
      <c r="A19" s="122" t="s">
        <v>401</v>
      </c>
      <c r="B19" s="123" t="s">
        <v>402</v>
      </c>
      <c r="C19" s="133">
        <v>87678.8</v>
      </c>
    </row>
    <row r="20" spans="1:3" s="124" customFormat="1" ht="12" x14ac:dyDescent="0.25">
      <c r="A20" s="122" t="s">
        <v>403</v>
      </c>
      <c r="B20" s="123" t="s">
        <v>404</v>
      </c>
      <c r="C20" s="133">
        <v>13128</v>
      </c>
    </row>
    <row r="21" spans="1:3" s="124" customFormat="1" ht="24" x14ac:dyDescent="0.25">
      <c r="A21" s="122" t="s">
        <v>405</v>
      </c>
      <c r="B21" s="123" t="s">
        <v>406</v>
      </c>
      <c r="C21" s="133">
        <v>7840.5</v>
      </c>
    </row>
    <row r="22" spans="1:3" s="124" customFormat="1" ht="24" x14ac:dyDescent="0.25">
      <c r="A22" s="122" t="s">
        <v>407</v>
      </c>
      <c r="B22" s="123" t="s">
        <v>408</v>
      </c>
      <c r="C22" s="133">
        <v>7934.5</v>
      </c>
    </row>
    <row r="23" spans="1:3" s="124" customFormat="1" ht="24" x14ac:dyDescent="0.25">
      <c r="A23" s="122" t="s">
        <v>409</v>
      </c>
      <c r="B23" s="123" t="s">
        <v>410</v>
      </c>
      <c r="C23" s="133">
        <v>3911.7</v>
      </c>
    </row>
    <row r="24" spans="1:3" s="124" customFormat="1" ht="24" x14ac:dyDescent="0.25">
      <c r="A24" s="122" t="s">
        <v>411</v>
      </c>
      <c r="B24" s="123" t="s">
        <v>412</v>
      </c>
      <c r="C24" s="133">
        <v>12949.1</v>
      </c>
    </row>
    <row r="25" spans="1:3" s="124" customFormat="1" ht="24" x14ac:dyDescent="0.25">
      <c r="A25" s="122" t="s">
        <v>413</v>
      </c>
      <c r="B25" s="123" t="s">
        <v>414</v>
      </c>
      <c r="C25" s="133">
        <v>35657</v>
      </c>
    </row>
    <row r="26" spans="1:3" s="124" customFormat="1" ht="24" x14ac:dyDescent="0.25">
      <c r="A26" s="122" t="s">
        <v>415</v>
      </c>
      <c r="B26" s="123" t="s">
        <v>416</v>
      </c>
      <c r="C26" s="133">
        <v>1957.7</v>
      </c>
    </row>
    <row r="27" spans="1:3" s="124" customFormat="1" ht="24" x14ac:dyDescent="0.25">
      <c r="A27" s="122" t="s">
        <v>417</v>
      </c>
      <c r="B27" s="123" t="s">
        <v>418</v>
      </c>
      <c r="C27" s="133">
        <v>4332.8</v>
      </c>
    </row>
    <row r="28" spans="1:3" s="124" customFormat="1" ht="24" x14ac:dyDescent="0.25">
      <c r="A28" s="122" t="s">
        <v>419</v>
      </c>
      <c r="B28" s="123" t="s">
        <v>420</v>
      </c>
      <c r="C28" s="133">
        <v>7925.2</v>
      </c>
    </row>
    <row r="29" spans="1:3" s="124" customFormat="1" ht="24" x14ac:dyDescent="0.25">
      <c r="A29" s="122" t="s">
        <v>421</v>
      </c>
      <c r="B29" s="123" t="s">
        <v>422</v>
      </c>
      <c r="C29" s="133">
        <v>5696.9</v>
      </c>
    </row>
    <row r="30" spans="1:3" s="124" customFormat="1" ht="36" x14ac:dyDescent="0.25">
      <c r="A30" s="122" t="s">
        <v>423</v>
      </c>
      <c r="B30" s="123" t="s">
        <v>424</v>
      </c>
      <c r="C30" s="133">
        <v>6082.9</v>
      </c>
    </row>
    <row r="31" spans="1:3" s="124" customFormat="1" ht="24" x14ac:dyDescent="0.25">
      <c r="A31" s="122" t="s">
        <v>425</v>
      </c>
      <c r="B31" s="123" t="s">
        <v>426</v>
      </c>
      <c r="C31" s="133">
        <v>6311.3</v>
      </c>
    </row>
    <row r="32" spans="1:3" s="124" customFormat="1" ht="36" x14ac:dyDescent="0.25">
      <c r="A32" s="122" t="s">
        <v>427</v>
      </c>
      <c r="B32" s="123" t="s">
        <v>428</v>
      </c>
      <c r="C32" s="133">
        <v>464.2</v>
      </c>
    </row>
    <row r="33" spans="1:3" s="124" customFormat="1" ht="36" x14ac:dyDescent="0.25">
      <c r="A33" s="122" t="s">
        <v>429</v>
      </c>
      <c r="B33" s="123" t="s">
        <v>430</v>
      </c>
      <c r="C33" s="133">
        <v>95766.5</v>
      </c>
    </row>
    <row r="34" spans="1:3" s="124" customFormat="1" ht="24" x14ac:dyDescent="0.25">
      <c r="A34" s="122" t="s">
        <v>431</v>
      </c>
      <c r="B34" s="123" t="s">
        <v>432</v>
      </c>
      <c r="C34" s="133">
        <v>259.89999999999998</v>
      </c>
    </row>
    <row r="35" spans="1:3" s="124" customFormat="1" ht="12" x14ac:dyDescent="0.25">
      <c r="A35" s="122" t="s">
        <v>433</v>
      </c>
      <c r="B35" s="123" t="s">
        <v>204</v>
      </c>
      <c r="C35" s="133"/>
    </row>
    <row r="36" spans="1:3" s="124" customFormat="1" ht="12" x14ac:dyDescent="0.25">
      <c r="A36" s="122" t="s">
        <v>434</v>
      </c>
      <c r="B36" s="123" t="s">
        <v>203</v>
      </c>
      <c r="C36" s="133"/>
    </row>
    <row r="37" spans="1:3" s="124" customFormat="1" ht="24" x14ac:dyDescent="0.25">
      <c r="A37" s="122" t="s">
        <v>435</v>
      </c>
      <c r="B37" s="123" t="s">
        <v>436</v>
      </c>
      <c r="C37" s="133">
        <v>2500</v>
      </c>
    </row>
    <row r="38" spans="1:3" s="124" customFormat="1" ht="12" x14ac:dyDescent="0.25">
      <c r="A38" s="122" t="s">
        <v>437</v>
      </c>
      <c r="B38" s="123" t="s">
        <v>201</v>
      </c>
      <c r="C38" s="133">
        <v>2500</v>
      </c>
    </row>
    <row r="39" spans="1:3" s="124" customFormat="1" ht="24" x14ac:dyDescent="0.25">
      <c r="A39" s="122" t="s">
        <v>438</v>
      </c>
      <c r="B39" s="123" t="s">
        <v>365</v>
      </c>
      <c r="C39" s="133"/>
    </row>
    <row r="40" spans="1:3" s="124" customFormat="1" ht="24" x14ac:dyDescent="0.25">
      <c r="A40" s="122" t="s">
        <v>439</v>
      </c>
      <c r="B40" s="123" t="s">
        <v>440</v>
      </c>
      <c r="C40" s="133">
        <v>16563.599999999999</v>
      </c>
    </row>
    <row r="41" spans="1:3" s="124" customFormat="1" ht="24" x14ac:dyDescent="0.25">
      <c r="A41" s="122" t="s">
        <v>441</v>
      </c>
      <c r="B41" s="123" t="s">
        <v>442</v>
      </c>
      <c r="C41" s="133">
        <v>21775.599999999999</v>
      </c>
    </row>
    <row r="42" spans="1:3" s="124" customFormat="1" ht="24" x14ac:dyDescent="0.25">
      <c r="A42" s="122" t="s">
        <v>443</v>
      </c>
      <c r="B42" s="123" t="s">
        <v>444</v>
      </c>
      <c r="C42" s="133">
        <v>219.3</v>
      </c>
    </row>
    <row r="43" spans="1:3" s="124" customFormat="1" ht="24" x14ac:dyDescent="0.25">
      <c r="A43" s="122" t="s">
        <v>445</v>
      </c>
      <c r="B43" s="123" t="s">
        <v>446</v>
      </c>
      <c r="C43" s="133">
        <v>1025.4000000000001</v>
      </c>
    </row>
    <row r="44" spans="1:3" s="124" customFormat="1" ht="24" x14ac:dyDescent="0.25">
      <c r="A44" s="122" t="s">
        <v>447</v>
      </c>
      <c r="B44" s="123" t="s">
        <v>448</v>
      </c>
      <c r="C44" s="133">
        <v>1905</v>
      </c>
    </row>
    <row r="45" spans="1:3" s="124" customFormat="1" ht="36" x14ac:dyDescent="0.25">
      <c r="A45" s="122" t="s">
        <v>449</v>
      </c>
      <c r="B45" s="123" t="s">
        <v>450</v>
      </c>
      <c r="C45" s="133">
        <v>7403.6</v>
      </c>
    </row>
    <row r="46" spans="1:3" s="124" customFormat="1" ht="24" x14ac:dyDescent="0.25">
      <c r="A46" s="122">
        <v>25910</v>
      </c>
      <c r="B46" s="123" t="s">
        <v>699</v>
      </c>
      <c r="C46" s="133"/>
    </row>
    <row r="47" spans="1:3" s="124" customFormat="1" ht="36" x14ac:dyDescent="0.25">
      <c r="A47" s="122" t="s">
        <v>451</v>
      </c>
      <c r="B47" s="123" t="s">
        <v>452</v>
      </c>
      <c r="C47" s="133">
        <v>783525.3</v>
      </c>
    </row>
    <row r="48" spans="1:3" s="124" customFormat="1" ht="24" x14ac:dyDescent="0.25">
      <c r="A48" s="122" t="s">
        <v>453</v>
      </c>
      <c r="B48" s="123" t="s">
        <v>454</v>
      </c>
      <c r="C48" s="133">
        <v>1747161</v>
      </c>
    </row>
    <row r="49" spans="1:3" s="124" customFormat="1" ht="12" x14ac:dyDescent="0.25">
      <c r="A49" s="122">
        <v>26612</v>
      </c>
      <c r="B49" s="123" t="s">
        <v>359</v>
      </c>
      <c r="C49" s="133">
        <v>166691.70000000001</v>
      </c>
    </row>
    <row r="50" spans="1:3" s="124" customFormat="1" ht="12" x14ac:dyDescent="0.25">
      <c r="A50" s="122">
        <v>26613</v>
      </c>
      <c r="B50" s="123" t="s">
        <v>360</v>
      </c>
      <c r="C50" s="133">
        <f>44000+2340+11060</f>
        <v>57400</v>
      </c>
    </row>
    <row r="51" spans="1:3" s="124" customFormat="1" ht="12" x14ac:dyDescent="0.25">
      <c r="A51" s="122" t="s">
        <v>455</v>
      </c>
      <c r="B51" s="123" t="s">
        <v>456</v>
      </c>
      <c r="C51" s="133"/>
    </row>
    <row r="52" spans="1:3" s="124" customFormat="1" ht="24" x14ac:dyDescent="0.25">
      <c r="A52" s="122" t="s">
        <v>457</v>
      </c>
      <c r="B52" s="123" t="s">
        <v>367</v>
      </c>
      <c r="C52" s="133"/>
    </row>
    <row r="53" spans="1:3" s="124" customFormat="1" ht="36" x14ac:dyDescent="0.25">
      <c r="A53" s="122">
        <v>26630</v>
      </c>
      <c r="B53" s="123" t="s">
        <v>458</v>
      </c>
      <c r="C53" s="133"/>
    </row>
    <row r="54" spans="1:3" s="124" customFormat="1" ht="36" x14ac:dyDescent="0.25">
      <c r="A54" s="122">
        <v>26630</v>
      </c>
      <c r="B54" s="123" t="s">
        <v>459</v>
      </c>
      <c r="C54" s="133"/>
    </row>
    <row r="55" spans="1:3" s="124" customFormat="1" ht="12" x14ac:dyDescent="0.25">
      <c r="A55" s="122" t="s">
        <v>457</v>
      </c>
      <c r="B55" s="123" t="s">
        <v>460</v>
      </c>
      <c r="C55" s="133"/>
    </row>
    <row r="56" spans="1:3" s="124" customFormat="1" ht="12" x14ac:dyDescent="0.25">
      <c r="A56" s="122" t="s">
        <v>457</v>
      </c>
      <c r="B56" s="123" t="s">
        <v>461</v>
      </c>
      <c r="C56" s="133"/>
    </row>
    <row r="57" spans="1:3" s="124" customFormat="1" ht="12" x14ac:dyDescent="0.25">
      <c r="A57" s="122" t="s">
        <v>457</v>
      </c>
      <c r="B57" s="123" t="s">
        <v>462</v>
      </c>
      <c r="C57" s="133"/>
    </row>
    <row r="58" spans="1:3" s="124" customFormat="1" ht="48" x14ac:dyDescent="0.25">
      <c r="A58" s="122" t="s">
        <v>457</v>
      </c>
      <c r="B58" s="123" t="s">
        <v>463</v>
      </c>
      <c r="C58" s="133"/>
    </row>
    <row r="59" spans="1:3" s="124" customFormat="1" ht="48" x14ac:dyDescent="0.25">
      <c r="A59" s="122" t="s">
        <v>457</v>
      </c>
      <c r="B59" s="123" t="s">
        <v>464</v>
      </c>
      <c r="C59" s="133"/>
    </row>
    <row r="60" spans="1:3" s="124" customFormat="1" ht="12" x14ac:dyDescent="0.25">
      <c r="A60" s="122">
        <v>26631</v>
      </c>
      <c r="B60" s="123" t="s">
        <v>191</v>
      </c>
      <c r="C60" s="133">
        <v>52916.7</v>
      </c>
    </row>
    <row r="61" spans="1:3" s="124" customFormat="1" ht="12" x14ac:dyDescent="0.25">
      <c r="A61" s="122" t="s">
        <v>457</v>
      </c>
      <c r="B61" s="123" t="s">
        <v>189</v>
      </c>
      <c r="C61" s="133"/>
    </row>
    <row r="62" spans="1:3" s="124" customFormat="1" ht="12" x14ac:dyDescent="0.25">
      <c r="A62" s="122" t="s">
        <v>457</v>
      </c>
      <c r="B62" s="123" t="s">
        <v>187</v>
      </c>
      <c r="C62" s="133"/>
    </row>
    <row r="63" spans="1:3" s="124" customFormat="1" ht="12" x14ac:dyDescent="0.25">
      <c r="A63" s="122">
        <v>26633</v>
      </c>
      <c r="B63" s="123" t="s">
        <v>185</v>
      </c>
      <c r="C63" s="133"/>
    </row>
    <row r="64" spans="1:3" s="124" customFormat="1" ht="12" x14ac:dyDescent="0.25">
      <c r="A64" s="122">
        <v>26634</v>
      </c>
      <c r="B64" s="123" t="s">
        <v>184</v>
      </c>
      <c r="C64" s="133"/>
    </row>
    <row r="65" spans="1:3" s="124" customFormat="1" ht="12" x14ac:dyDescent="0.25">
      <c r="A65" s="122">
        <v>26635</v>
      </c>
      <c r="B65" s="123" t="s">
        <v>465</v>
      </c>
      <c r="C65" s="133">
        <v>2500</v>
      </c>
    </row>
    <row r="66" spans="1:3" s="124" customFormat="1" ht="24" x14ac:dyDescent="0.25">
      <c r="A66" s="122">
        <v>26636</v>
      </c>
      <c r="B66" s="123" t="s">
        <v>180</v>
      </c>
      <c r="C66" s="133"/>
    </row>
    <row r="67" spans="1:3" s="124" customFormat="1" ht="12" x14ac:dyDescent="0.25">
      <c r="A67" s="122" t="s">
        <v>457</v>
      </c>
      <c r="B67" s="123" t="s">
        <v>181</v>
      </c>
      <c r="C67" s="133"/>
    </row>
    <row r="68" spans="1:3" s="124" customFormat="1" ht="12" x14ac:dyDescent="0.25">
      <c r="A68" s="122">
        <v>26630</v>
      </c>
      <c r="B68" s="123" t="s">
        <v>466</v>
      </c>
      <c r="C68" s="133"/>
    </row>
    <row r="69" spans="1:3" s="124" customFormat="1" ht="12" x14ac:dyDescent="0.25">
      <c r="A69" s="122">
        <v>26632</v>
      </c>
      <c r="B69" s="123" t="s">
        <v>190</v>
      </c>
      <c r="C69" s="133">
        <v>2458472.7999999998</v>
      </c>
    </row>
    <row r="70" spans="1:3" s="124" customFormat="1" ht="12" x14ac:dyDescent="0.25">
      <c r="A70" s="122" t="s">
        <v>467</v>
      </c>
      <c r="B70" s="123" t="s">
        <v>468</v>
      </c>
      <c r="C70" s="133"/>
    </row>
    <row r="71" spans="1:3" s="124" customFormat="1" ht="12" x14ac:dyDescent="0.25">
      <c r="A71" s="122">
        <v>26652</v>
      </c>
      <c r="B71" s="123" t="s">
        <v>175</v>
      </c>
      <c r="C71" s="133"/>
    </row>
    <row r="72" spans="1:3" s="124" customFormat="1" ht="12" x14ac:dyDescent="0.25">
      <c r="A72" s="122">
        <v>26651</v>
      </c>
      <c r="B72" s="123" t="s">
        <v>174</v>
      </c>
      <c r="C72" s="133"/>
    </row>
    <row r="73" spans="1:3" s="124" customFormat="1" ht="24" x14ac:dyDescent="0.25">
      <c r="A73" s="122" t="s">
        <v>469</v>
      </c>
      <c r="B73" s="123" t="s">
        <v>470</v>
      </c>
      <c r="C73" s="133">
        <v>14662</v>
      </c>
    </row>
    <row r="74" spans="1:3" s="124" customFormat="1" ht="24" x14ac:dyDescent="0.25">
      <c r="A74" s="122" t="s">
        <v>471</v>
      </c>
      <c r="B74" s="123" t="s">
        <v>472</v>
      </c>
      <c r="C74" s="133">
        <v>29428.3</v>
      </c>
    </row>
    <row r="75" spans="1:3" s="124" customFormat="1" ht="12" x14ac:dyDescent="0.25">
      <c r="A75" s="122" t="s">
        <v>473</v>
      </c>
      <c r="B75" s="123" t="s">
        <v>361</v>
      </c>
      <c r="C75" s="133"/>
    </row>
    <row r="76" spans="1:3" s="124" customFormat="1" ht="12" x14ac:dyDescent="0.25">
      <c r="A76" s="122" t="s">
        <v>474</v>
      </c>
      <c r="B76" s="123" t="s">
        <v>362</v>
      </c>
      <c r="C76" s="133"/>
    </row>
    <row r="77" spans="1:3" s="124" customFormat="1" ht="24" x14ac:dyDescent="0.25">
      <c r="A77" s="122" t="s">
        <v>475</v>
      </c>
      <c r="B77" s="123" t="s">
        <v>476</v>
      </c>
      <c r="C77" s="133">
        <v>8469.1</v>
      </c>
    </row>
    <row r="78" spans="1:3" s="124" customFormat="1" ht="24" x14ac:dyDescent="0.25">
      <c r="A78" s="122" t="s">
        <v>477</v>
      </c>
      <c r="B78" s="123" t="s">
        <v>478</v>
      </c>
      <c r="C78" s="133">
        <v>2073</v>
      </c>
    </row>
    <row r="79" spans="1:3" s="124" customFormat="1" ht="24" x14ac:dyDescent="0.25">
      <c r="A79" s="122" t="s">
        <v>479</v>
      </c>
      <c r="B79" s="123" t="s">
        <v>480</v>
      </c>
      <c r="C79" s="133">
        <v>1400.3</v>
      </c>
    </row>
    <row r="80" spans="1:3" s="124" customFormat="1" ht="36" x14ac:dyDescent="0.25">
      <c r="A80" s="122" t="s">
        <v>481</v>
      </c>
      <c r="B80" s="123" t="s">
        <v>482</v>
      </c>
      <c r="C80" s="133">
        <v>714</v>
      </c>
    </row>
    <row r="81" spans="1:3" s="124" customFormat="1" ht="24" x14ac:dyDescent="0.25">
      <c r="A81" s="122" t="s">
        <v>483</v>
      </c>
      <c r="B81" s="123" t="s">
        <v>484</v>
      </c>
      <c r="C81" s="133">
        <v>2198.8000000000002</v>
      </c>
    </row>
    <row r="82" spans="1:3" s="124" customFormat="1" ht="24" x14ac:dyDescent="0.25">
      <c r="A82" s="122" t="s">
        <v>485</v>
      </c>
      <c r="B82" s="123" t="s">
        <v>486</v>
      </c>
      <c r="C82" s="133">
        <v>1002.4</v>
      </c>
    </row>
    <row r="83" spans="1:3" s="124" customFormat="1" ht="36" x14ac:dyDescent="0.25">
      <c r="A83" s="122" t="s">
        <v>711</v>
      </c>
      <c r="B83" s="123" t="s">
        <v>712</v>
      </c>
      <c r="C83" s="133">
        <v>17</v>
      </c>
    </row>
    <row r="84" spans="1:3" s="124" customFormat="1" ht="24" x14ac:dyDescent="0.25">
      <c r="A84" s="122" t="s">
        <v>487</v>
      </c>
      <c r="B84" s="123" t="s">
        <v>488</v>
      </c>
      <c r="C84" s="133">
        <v>562.5</v>
      </c>
    </row>
    <row r="85" spans="1:3" s="124" customFormat="1" ht="24" x14ac:dyDescent="0.25">
      <c r="A85" s="122">
        <v>28910</v>
      </c>
      <c r="B85" s="123" t="s">
        <v>700</v>
      </c>
      <c r="C85" s="133"/>
    </row>
    <row r="86" spans="1:3" s="124" customFormat="1" ht="36" x14ac:dyDescent="0.25">
      <c r="A86" s="122">
        <v>29110</v>
      </c>
      <c r="B86" s="123" t="s">
        <v>716</v>
      </c>
      <c r="C86" s="133">
        <v>2627.8</v>
      </c>
    </row>
    <row r="87" spans="1:3" s="124" customFormat="1" ht="24" x14ac:dyDescent="0.25">
      <c r="A87" s="122" t="s">
        <v>489</v>
      </c>
      <c r="B87" s="123" t="s">
        <v>490</v>
      </c>
      <c r="C87" s="133">
        <v>87034</v>
      </c>
    </row>
    <row r="88" spans="1:3" s="124" customFormat="1" ht="36" x14ac:dyDescent="0.25">
      <c r="A88" s="122" t="s">
        <v>491</v>
      </c>
      <c r="B88" s="123" t="s">
        <v>492</v>
      </c>
      <c r="C88" s="133">
        <v>16191.4</v>
      </c>
    </row>
    <row r="89" spans="1:3" s="124" customFormat="1" ht="24" x14ac:dyDescent="0.25">
      <c r="A89" s="122" t="s">
        <v>493</v>
      </c>
      <c r="B89" s="123" t="s">
        <v>494</v>
      </c>
      <c r="C89" s="133">
        <v>3579.4</v>
      </c>
    </row>
    <row r="90" spans="1:3" s="124" customFormat="1" ht="36" x14ac:dyDescent="0.25">
      <c r="A90" s="122" t="s">
        <v>495</v>
      </c>
      <c r="B90" s="123" t="s">
        <v>496</v>
      </c>
      <c r="C90" s="133">
        <f>1728726.6+100000</f>
        <v>1828726.6</v>
      </c>
    </row>
    <row r="91" spans="1:3" s="124" customFormat="1" ht="36" x14ac:dyDescent="0.25">
      <c r="A91" s="122" t="s">
        <v>497</v>
      </c>
      <c r="B91" s="123" t="s">
        <v>498</v>
      </c>
      <c r="C91" s="133">
        <v>12505.1</v>
      </c>
    </row>
    <row r="92" spans="1:3" s="124" customFormat="1" ht="36" x14ac:dyDescent="0.25">
      <c r="A92" s="122" t="s">
        <v>499</v>
      </c>
      <c r="B92" s="123" t="s">
        <v>500</v>
      </c>
      <c r="C92" s="133">
        <v>883.5</v>
      </c>
    </row>
    <row r="93" spans="1:3" s="124" customFormat="1" ht="48" x14ac:dyDescent="0.25">
      <c r="A93" s="122" t="s">
        <v>501</v>
      </c>
      <c r="B93" s="123" t="s">
        <v>502</v>
      </c>
      <c r="C93" s="133">
        <v>88353.8</v>
      </c>
    </row>
    <row r="94" spans="1:3" s="124" customFormat="1" ht="24" x14ac:dyDescent="0.25">
      <c r="A94" s="122">
        <v>34911</v>
      </c>
      <c r="B94" s="123" t="s">
        <v>701</v>
      </c>
      <c r="C94" s="133"/>
    </row>
    <row r="95" spans="1:3" s="124" customFormat="1" ht="36" x14ac:dyDescent="0.25">
      <c r="A95" s="122" t="s">
        <v>503</v>
      </c>
      <c r="B95" s="123" t="s">
        <v>504</v>
      </c>
      <c r="C95" s="133">
        <v>3906.9</v>
      </c>
    </row>
    <row r="96" spans="1:3" s="124" customFormat="1" ht="48" x14ac:dyDescent="0.25">
      <c r="A96" s="122" t="s">
        <v>505</v>
      </c>
      <c r="B96" s="123" t="s">
        <v>506</v>
      </c>
      <c r="C96" s="133">
        <v>1109.0999999999999</v>
      </c>
    </row>
    <row r="97" spans="1:3" s="124" customFormat="1" ht="24" x14ac:dyDescent="0.25">
      <c r="A97" s="122" t="s">
        <v>507</v>
      </c>
      <c r="B97" s="123" t="s">
        <v>508</v>
      </c>
      <c r="C97" s="133">
        <v>3096.8</v>
      </c>
    </row>
    <row r="98" spans="1:3" s="124" customFormat="1" ht="24" x14ac:dyDescent="0.25">
      <c r="A98" s="122" t="s">
        <v>509</v>
      </c>
      <c r="B98" s="123" t="s">
        <v>696</v>
      </c>
      <c r="C98" s="133">
        <v>191433.2</v>
      </c>
    </row>
    <row r="99" spans="1:3" s="124" customFormat="1" ht="24" x14ac:dyDescent="0.25">
      <c r="A99" s="122">
        <v>37911</v>
      </c>
      <c r="B99" s="123" t="s">
        <v>702</v>
      </c>
      <c r="C99" s="133"/>
    </row>
    <row r="100" spans="1:3" s="124" customFormat="1" ht="24" x14ac:dyDescent="0.25">
      <c r="A100" s="122" t="s">
        <v>510</v>
      </c>
      <c r="B100" s="123" t="s">
        <v>511</v>
      </c>
      <c r="C100" s="133">
        <v>3780</v>
      </c>
    </row>
    <row r="101" spans="1:3" s="124" customFormat="1" ht="36" x14ac:dyDescent="0.25">
      <c r="A101" s="122" t="s">
        <v>512</v>
      </c>
      <c r="B101" s="123" t="s">
        <v>513</v>
      </c>
      <c r="C101" s="133">
        <v>978626.8</v>
      </c>
    </row>
    <row r="102" spans="1:3" s="124" customFormat="1" ht="24" x14ac:dyDescent="0.25">
      <c r="A102" s="122" t="s">
        <v>514</v>
      </c>
      <c r="B102" s="123" t="s">
        <v>515</v>
      </c>
      <c r="C102" s="133">
        <v>1777.2</v>
      </c>
    </row>
    <row r="103" spans="1:3" s="124" customFormat="1" ht="48" x14ac:dyDescent="0.25">
      <c r="A103" s="122" t="s">
        <v>516</v>
      </c>
      <c r="B103" s="123" t="s">
        <v>517</v>
      </c>
      <c r="C103" s="133">
        <v>61.6</v>
      </c>
    </row>
    <row r="104" spans="1:3" s="124" customFormat="1" ht="36" x14ac:dyDescent="0.25">
      <c r="A104" s="122" t="s">
        <v>518</v>
      </c>
      <c r="B104" s="123" t="s">
        <v>519</v>
      </c>
      <c r="C104" s="133">
        <v>4140.1000000000004</v>
      </c>
    </row>
    <row r="105" spans="1:3" s="124" customFormat="1" ht="36" x14ac:dyDescent="0.25">
      <c r="A105" s="122" t="s">
        <v>520</v>
      </c>
      <c r="B105" s="123" t="s">
        <v>521</v>
      </c>
      <c r="C105" s="133">
        <v>17797</v>
      </c>
    </row>
    <row r="106" spans="1:3" s="124" customFormat="1" ht="48" x14ac:dyDescent="0.25">
      <c r="A106" s="122" t="s">
        <v>522</v>
      </c>
      <c r="B106" s="123" t="s">
        <v>523</v>
      </c>
      <c r="C106" s="134"/>
    </row>
    <row r="107" spans="1:3" s="124" customFormat="1" ht="48" x14ac:dyDescent="0.25">
      <c r="A107" s="122" t="s">
        <v>524</v>
      </c>
      <c r="B107" s="123" t="s">
        <v>525</v>
      </c>
      <c r="C107" s="134"/>
    </row>
    <row r="108" spans="1:3" s="124" customFormat="1" ht="48" x14ac:dyDescent="0.25">
      <c r="A108" s="122" t="s">
        <v>526</v>
      </c>
      <c r="B108" s="123" t="s">
        <v>527</v>
      </c>
      <c r="C108" s="133">
        <v>6873.9</v>
      </c>
    </row>
    <row r="109" spans="1:3" s="124" customFormat="1" ht="36" x14ac:dyDescent="0.25">
      <c r="A109" s="122" t="s">
        <v>528</v>
      </c>
      <c r="B109" s="123" t="s">
        <v>529</v>
      </c>
      <c r="C109" s="133">
        <v>4394.6000000000004</v>
      </c>
    </row>
    <row r="110" spans="1:3" s="124" customFormat="1" ht="36" x14ac:dyDescent="0.25">
      <c r="A110" s="122">
        <v>41911</v>
      </c>
      <c r="B110" s="123" t="s">
        <v>703</v>
      </c>
      <c r="C110" s="133"/>
    </row>
    <row r="111" spans="1:3" s="124" customFormat="1" ht="24" x14ac:dyDescent="0.25">
      <c r="A111" s="122">
        <v>42110</v>
      </c>
      <c r="B111" s="123" t="s">
        <v>714</v>
      </c>
      <c r="C111" s="133">
        <v>1656.9</v>
      </c>
    </row>
    <row r="112" spans="1:3" s="124" customFormat="1" ht="24" x14ac:dyDescent="0.25">
      <c r="A112" s="122">
        <v>42120</v>
      </c>
      <c r="B112" s="123" t="s">
        <v>715</v>
      </c>
      <c r="C112" s="133">
        <v>81689.8</v>
      </c>
    </row>
    <row r="113" spans="1:3" s="124" customFormat="1" ht="24" x14ac:dyDescent="0.25">
      <c r="A113" s="122" t="s">
        <v>530</v>
      </c>
      <c r="B113" s="123" t="s">
        <v>531</v>
      </c>
      <c r="C113" s="133">
        <v>3576.6</v>
      </c>
    </row>
    <row r="114" spans="1:3" s="124" customFormat="1" ht="36" x14ac:dyDescent="0.25">
      <c r="A114" s="122" t="s">
        <v>532</v>
      </c>
      <c r="B114" s="123" t="s">
        <v>533</v>
      </c>
      <c r="C114" s="133">
        <v>1579.3</v>
      </c>
    </row>
    <row r="115" spans="1:3" s="124" customFormat="1" ht="36" x14ac:dyDescent="0.25">
      <c r="A115" s="122" t="s">
        <v>534</v>
      </c>
      <c r="B115" s="123" t="s">
        <v>535</v>
      </c>
      <c r="C115" s="133">
        <f>8134.8+50000</f>
        <v>58134.8</v>
      </c>
    </row>
    <row r="116" spans="1:3" s="124" customFormat="1" ht="24" x14ac:dyDescent="0.25">
      <c r="A116" s="122" t="s">
        <v>536</v>
      </c>
      <c r="B116" s="123" t="s">
        <v>537</v>
      </c>
      <c r="C116" s="133">
        <v>14942.6</v>
      </c>
    </row>
    <row r="117" spans="1:3" s="124" customFormat="1" ht="48" x14ac:dyDescent="0.25">
      <c r="A117" s="122" t="s">
        <v>364</v>
      </c>
      <c r="B117" s="123" t="s">
        <v>538</v>
      </c>
      <c r="C117" s="133">
        <v>2288.1</v>
      </c>
    </row>
    <row r="118" spans="1:3" s="124" customFormat="1" ht="48" x14ac:dyDescent="0.25">
      <c r="A118" s="122" t="s">
        <v>363</v>
      </c>
      <c r="B118" s="123" t="s">
        <v>539</v>
      </c>
      <c r="C118" s="133">
        <v>9092.2000000000007</v>
      </c>
    </row>
    <row r="119" spans="1:3" s="124" customFormat="1" ht="24" x14ac:dyDescent="0.25">
      <c r="A119" s="122" t="s">
        <v>540</v>
      </c>
      <c r="B119" s="123" t="s">
        <v>541</v>
      </c>
      <c r="C119" s="133">
        <v>1012.3</v>
      </c>
    </row>
    <row r="120" spans="1:3" s="124" customFormat="1" ht="24" x14ac:dyDescent="0.25">
      <c r="A120" s="122">
        <v>43910</v>
      </c>
      <c r="B120" s="123" t="s">
        <v>704</v>
      </c>
      <c r="C120" s="133"/>
    </row>
    <row r="121" spans="1:3" s="124" customFormat="1" ht="24" x14ac:dyDescent="0.25">
      <c r="A121" s="122" t="s">
        <v>542</v>
      </c>
      <c r="B121" s="123" t="s">
        <v>543</v>
      </c>
      <c r="C121" s="133">
        <v>2289.4</v>
      </c>
    </row>
    <row r="122" spans="1:3" s="124" customFormat="1" ht="36" x14ac:dyDescent="0.25">
      <c r="A122" s="122" t="s">
        <v>544</v>
      </c>
      <c r="B122" s="123" t="s">
        <v>545</v>
      </c>
      <c r="C122" s="133">
        <f>123200.1-13000</f>
        <v>110200.1</v>
      </c>
    </row>
    <row r="123" spans="1:3" s="124" customFormat="1" ht="36" x14ac:dyDescent="0.25">
      <c r="A123" s="122" t="s">
        <v>546</v>
      </c>
      <c r="B123" s="123" t="s">
        <v>547</v>
      </c>
      <c r="C123" s="133">
        <v>726.4</v>
      </c>
    </row>
    <row r="124" spans="1:3" s="124" customFormat="1" ht="24" x14ac:dyDescent="0.25">
      <c r="A124" s="122" t="s">
        <v>548</v>
      </c>
      <c r="B124" s="123" t="s">
        <v>549</v>
      </c>
      <c r="C124" s="133">
        <v>70.2</v>
      </c>
    </row>
    <row r="125" spans="1:3" s="124" customFormat="1" ht="36" x14ac:dyDescent="0.25">
      <c r="A125" s="122" t="s">
        <v>550</v>
      </c>
      <c r="B125" s="123" t="s">
        <v>551</v>
      </c>
      <c r="C125" s="133">
        <v>1689.4</v>
      </c>
    </row>
    <row r="126" spans="1:3" s="124" customFormat="1" ht="36" x14ac:dyDescent="0.25">
      <c r="A126" s="122" t="s">
        <v>552</v>
      </c>
      <c r="B126" s="123" t="s">
        <v>553</v>
      </c>
      <c r="C126" s="133">
        <v>2999.3</v>
      </c>
    </row>
    <row r="127" spans="1:3" s="124" customFormat="1" ht="24" x14ac:dyDescent="0.25">
      <c r="A127" s="122" t="s">
        <v>554</v>
      </c>
      <c r="B127" s="123" t="s">
        <v>555</v>
      </c>
      <c r="C127" s="133">
        <v>1774.7</v>
      </c>
    </row>
    <row r="128" spans="1:3" s="124" customFormat="1" ht="48" x14ac:dyDescent="0.25">
      <c r="A128" s="122" t="s">
        <v>556</v>
      </c>
      <c r="B128" s="123" t="s">
        <v>557</v>
      </c>
      <c r="C128" s="133">
        <v>861.2</v>
      </c>
    </row>
    <row r="129" spans="1:3" s="124" customFormat="1" ht="48" x14ac:dyDescent="0.25">
      <c r="A129" s="122" t="s">
        <v>558</v>
      </c>
      <c r="B129" s="123" t="s">
        <v>559</v>
      </c>
      <c r="C129" s="133">
        <f>2700+2000</f>
        <v>4700</v>
      </c>
    </row>
    <row r="130" spans="1:3" s="124" customFormat="1" ht="48" x14ac:dyDescent="0.25">
      <c r="A130" s="122" t="s">
        <v>560</v>
      </c>
      <c r="B130" s="123" t="s">
        <v>561</v>
      </c>
      <c r="C130" s="133">
        <v>5739</v>
      </c>
    </row>
    <row r="131" spans="1:3" s="124" customFormat="1" ht="48" x14ac:dyDescent="0.25">
      <c r="A131" s="122" t="s">
        <v>562</v>
      </c>
      <c r="B131" s="123" t="s">
        <v>563</v>
      </c>
      <c r="C131" s="133">
        <v>5704.4</v>
      </c>
    </row>
    <row r="132" spans="1:3" s="124" customFormat="1" ht="12" x14ac:dyDescent="0.25">
      <c r="A132" s="122" t="s">
        <v>564</v>
      </c>
      <c r="B132" s="123" t="s">
        <v>565</v>
      </c>
      <c r="C132" s="133">
        <v>1225.5999999999999</v>
      </c>
    </row>
    <row r="133" spans="1:3" s="124" customFormat="1" ht="24" x14ac:dyDescent="0.25">
      <c r="A133" s="122" t="s">
        <v>566</v>
      </c>
      <c r="B133" s="123" t="s">
        <v>567</v>
      </c>
      <c r="C133" s="133">
        <v>6437.1</v>
      </c>
    </row>
    <row r="134" spans="1:3" s="124" customFormat="1" ht="36" x14ac:dyDescent="0.25">
      <c r="A134" s="122" t="s">
        <v>568</v>
      </c>
      <c r="B134" s="123" t="s">
        <v>569</v>
      </c>
      <c r="C134" s="133">
        <v>111502.5</v>
      </c>
    </row>
    <row r="135" spans="1:3" s="124" customFormat="1" ht="48" x14ac:dyDescent="0.25">
      <c r="A135" s="122" t="s">
        <v>570</v>
      </c>
      <c r="B135" s="123" t="s">
        <v>571</v>
      </c>
      <c r="C135" s="133"/>
    </row>
    <row r="136" spans="1:3" s="124" customFormat="1" ht="36" x14ac:dyDescent="0.25">
      <c r="A136" s="120" t="s">
        <v>697</v>
      </c>
      <c r="B136" s="121" t="s">
        <v>698</v>
      </c>
      <c r="C136" s="133">
        <v>2987.9</v>
      </c>
    </row>
    <row r="137" spans="1:3" s="124" customFormat="1" ht="36" x14ac:dyDescent="0.25">
      <c r="A137" s="122" t="s">
        <v>572</v>
      </c>
      <c r="B137" s="123" t="s">
        <v>573</v>
      </c>
      <c r="C137" s="133">
        <v>11697.9</v>
      </c>
    </row>
    <row r="138" spans="1:3" s="124" customFormat="1" ht="24" x14ac:dyDescent="0.25">
      <c r="A138" s="122" t="s">
        <v>574</v>
      </c>
      <c r="B138" s="123" t="s">
        <v>93</v>
      </c>
      <c r="C138" s="133">
        <v>1243.7</v>
      </c>
    </row>
    <row r="139" spans="1:3" s="124" customFormat="1" ht="24" x14ac:dyDescent="0.25">
      <c r="A139" s="122" t="s">
        <v>575</v>
      </c>
      <c r="B139" s="123" t="s">
        <v>576</v>
      </c>
      <c r="C139" s="133">
        <v>16677.8</v>
      </c>
    </row>
    <row r="140" spans="1:3" s="124" customFormat="1" ht="36" x14ac:dyDescent="0.25">
      <c r="A140" s="122" t="s">
        <v>577</v>
      </c>
      <c r="B140" s="123" t="s">
        <v>578</v>
      </c>
      <c r="C140" s="133">
        <v>116315.6</v>
      </c>
    </row>
    <row r="141" spans="1:3" s="124" customFormat="1" ht="24" x14ac:dyDescent="0.25">
      <c r="A141" s="122" t="s">
        <v>579</v>
      </c>
      <c r="B141" s="123" t="s">
        <v>580</v>
      </c>
      <c r="C141" s="133">
        <v>22996.5</v>
      </c>
    </row>
    <row r="142" spans="1:3" s="124" customFormat="1" ht="36" x14ac:dyDescent="0.25">
      <c r="A142" s="122" t="s">
        <v>581</v>
      </c>
      <c r="B142" s="123" t="s">
        <v>582</v>
      </c>
      <c r="C142" s="133">
        <f>61350.6-6000</f>
        <v>55350.6</v>
      </c>
    </row>
    <row r="143" spans="1:3" s="124" customFormat="1" ht="24" x14ac:dyDescent="0.25">
      <c r="A143" s="122" t="s">
        <v>583</v>
      </c>
      <c r="B143" s="123" t="s">
        <v>584</v>
      </c>
      <c r="C143" s="133">
        <v>3308.4</v>
      </c>
    </row>
    <row r="144" spans="1:3" s="124" customFormat="1" ht="24" x14ac:dyDescent="0.25">
      <c r="A144" s="122" t="s">
        <v>585</v>
      </c>
      <c r="B144" s="123" t="s">
        <v>586</v>
      </c>
      <c r="C144" s="133">
        <v>2125.1999999999998</v>
      </c>
    </row>
    <row r="145" spans="1:3" s="124" customFormat="1" ht="36" x14ac:dyDescent="0.25">
      <c r="A145" s="122" t="s">
        <v>587</v>
      </c>
      <c r="B145" s="123" t="s">
        <v>588</v>
      </c>
      <c r="C145" s="133">
        <v>2705.5</v>
      </c>
    </row>
    <row r="146" spans="1:3" s="124" customFormat="1" ht="36" x14ac:dyDescent="0.25">
      <c r="A146" s="122">
        <v>51910</v>
      </c>
      <c r="B146" s="123" t="s">
        <v>706</v>
      </c>
      <c r="C146" s="133"/>
    </row>
    <row r="147" spans="1:3" s="124" customFormat="1" ht="36" x14ac:dyDescent="0.25">
      <c r="A147" s="122" t="s">
        <v>589</v>
      </c>
      <c r="B147" s="123" t="s">
        <v>590</v>
      </c>
      <c r="C147" s="133">
        <v>2191.9</v>
      </c>
    </row>
    <row r="148" spans="1:3" s="124" customFormat="1" ht="48" x14ac:dyDescent="0.25">
      <c r="A148" s="122" t="s">
        <v>591</v>
      </c>
      <c r="B148" s="123" t="s">
        <v>592</v>
      </c>
      <c r="C148" s="133">
        <f>48182.5-4000</f>
        <v>44182.5</v>
      </c>
    </row>
    <row r="149" spans="1:3" s="124" customFormat="1" ht="24" x14ac:dyDescent="0.25">
      <c r="A149" s="122" t="s">
        <v>593</v>
      </c>
      <c r="B149" s="123" t="s">
        <v>594</v>
      </c>
      <c r="C149" s="133">
        <f>25448-13000</f>
        <v>12448</v>
      </c>
    </row>
    <row r="150" spans="1:3" s="124" customFormat="1" ht="36" x14ac:dyDescent="0.25">
      <c r="A150" s="122" t="s">
        <v>595</v>
      </c>
      <c r="B150" s="123" t="s">
        <v>596</v>
      </c>
      <c r="C150" s="133">
        <v>15903.3</v>
      </c>
    </row>
    <row r="151" spans="1:3" s="124" customFormat="1" ht="36" x14ac:dyDescent="0.25">
      <c r="A151" s="122" t="s">
        <v>597</v>
      </c>
      <c r="B151" s="123" t="s">
        <v>598</v>
      </c>
      <c r="C151" s="133">
        <v>4513.1000000000004</v>
      </c>
    </row>
    <row r="152" spans="1:3" s="124" customFormat="1" ht="48" x14ac:dyDescent="0.25">
      <c r="A152" s="122" t="s">
        <v>599</v>
      </c>
      <c r="B152" s="123" t="s">
        <v>600</v>
      </c>
      <c r="C152" s="133">
        <v>10184.299999999999</v>
      </c>
    </row>
    <row r="153" spans="1:3" s="124" customFormat="1" ht="36" x14ac:dyDescent="0.25">
      <c r="A153" s="122" t="s">
        <v>601</v>
      </c>
      <c r="B153" s="123" t="s">
        <v>602</v>
      </c>
      <c r="C153" s="133">
        <v>7726.4</v>
      </c>
    </row>
    <row r="154" spans="1:3" s="124" customFormat="1" ht="48" x14ac:dyDescent="0.25">
      <c r="A154" s="122" t="s">
        <v>603</v>
      </c>
      <c r="B154" s="123" t="s">
        <v>604</v>
      </c>
      <c r="C154" s="133">
        <v>16145.4</v>
      </c>
    </row>
    <row r="155" spans="1:3" s="124" customFormat="1" ht="36" x14ac:dyDescent="0.25">
      <c r="A155" s="122" t="s">
        <v>605</v>
      </c>
      <c r="B155" s="123" t="s">
        <v>606</v>
      </c>
      <c r="C155" s="133">
        <v>6532.9</v>
      </c>
    </row>
    <row r="156" spans="1:3" s="124" customFormat="1" ht="48" x14ac:dyDescent="0.25">
      <c r="A156" s="122" t="s">
        <v>607</v>
      </c>
      <c r="B156" s="123" t="s">
        <v>608</v>
      </c>
      <c r="C156" s="133">
        <v>1107.5</v>
      </c>
    </row>
    <row r="157" spans="1:3" s="124" customFormat="1" ht="48" x14ac:dyDescent="0.25">
      <c r="A157" s="122" t="s">
        <v>609</v>
      </c>
      <c r="B157" s="123" t="s">
        <v>610</v>
      </c>
      <c r="C157" s="133">
        <v>480</v>
      </c>
    </row>
    <row r="158" spans="1:3" s="124" customFormat="1" ht="48" x14ac:dyDescent="0.25">
      <c r="A158" s="122" t="s">
        <v>611</v>
      </c>
      <c r="B158" s="123" t="s">
        <v>612</v>
      </c>
      <c r="C158" s="133">
        <v>5589.7</v>
      </c>
    </row>
    <row r="159" spans="1:3" s="124" customFormat="1" ht="36" x14ac:dyDescent="0.25">
      <c r="A159" s="122">
        <v>55910</v>
      </c>
      <c r="B159" s="123" t="s">
        <v>705</v>
      </c>
      <c r="C159" s="133"/>
    </row>
    <row r="160" spans="1:3" s="124" customFormat="1" ht="36" x14ac:dyDescent="0.25">
      <c r="A160" s="122" t="s">
        <v>613</v>
      </c>
      <c r="B160" s="123" t="s">
        <v>614</v>
      </c>
      <c r="C160" s="133">
        <v>2953.9</v>
      </c>
    </row>
    <row r="161" spans="1:3" s="124" customFormat="1" ht="48" x14ac:dyDescent="0.25">
      <c r="A161" s="122" t="s">
        <v>615</v>
      </c>
      <c r="B161" s="123" t="s">
        <v>616</v>
      </c>
      <c r="C161" s="133">
        <v>70771.899999999994</v>
      </c>
    </row>
    <row r="162" spans="1:3" s="124" customFormat="1" ht="24" x14ac:dyDescent="0.25">
      <c r="A162" s="122" t="s">
        <v>617</v>
      </c>
      <c r="B162" s="123" t="s">
        <v>366</v>
      </c>
      <c r="C162" s="133">
        <v>2218</v>
      </c>
    </row>
    <row r="163" spans="1:3" s="124" customFormat="1" ht="36" x14ac:dyDescent="0.25">
      <c r="A163" s="122" t="s">
        <v>618</v>
      </c>
      <c r="B163" s="123" t="s">
        <v>619</v>
      </c>
      <c r="C163" s="133">
        <v>1739.2</v>
      </c>
    </row>
    <row r="164" spans="1:3" s="124" customFormat="1" ht="48" x14ac:dyDescent="0.25">
      <c r="A164" s="122" t="s">
        <v>620</v>
      </c>
      <c r="B164" s="123" t="s">
        <v>621</v>
      </c>
      <c r="C164" s="133">
        <v>238</v>
      </c>
    </row>
    <row r="165" spans="1:3" s="124" customFormat="1" ht="24" x14ac:dyDescent="0.25">
      <c r="A165" s="122" t="s">
        <v>622</v>
      </c>
      <c r="B165" s="123" t="s">
        <v>623</v>
      </c>
      <c r="C165" s="133">
        <v>3029.1</v>
      </c>
    </row>
    <row r="166" spans="1:3" s="124" customFormat="1" ht="24" x14ac:dyDescent="0.25">
      <c r="A166" s="122" t="s">
        <v>624</v>
      </c>
      <c r="B166" s="123" t="s">
        <v>625</v>
      </c>
      <c r="C166" s="133">
        <v>1386.5</v>
      </c>
    </row>
    <row r="167" spans="1:3" s="124" customFormat="1" ht="48" x14ac:dyDescent="0.25">
      <c r="A167" s="122" t="s">
        <v>626</v>
      </c>
      <c r="B167" s="123" t="s">
        <v>627</v>
      </c>
      <c r="C167" s="133">
        <v>2515.6</v>
      </c>
    </row>
    <row r="168" spans="1:3" s="124" customFormat="1" ht="48" x14ac:dyDescent="0.25">
      <c r="A168" s="122" t="s">
        <v>628</v>
      </c>
      <c r="B168" s="123" t="s">
        <v>629</v>
      </c>
      <c r="C168" s="133">
        <f>2275.8-1000</f>
        <v>1275.8000000000002</v>
      </c>
    </row>
    <row r="169" spans="1:3" s="124" customFormat="1" ht="36" x14ac:dyDescent="0.25">
      <c r="A169" s="122" t="s">
        <v>630</v>
      </c>
      <c r="B169" s="123" t="s">
        <v>631</v>
      </c>
      <c r="C169" s="133">
        <v>12498.3</v>
      </c>
    </row>
    <row r="170" spans="1:3" s="124" customFormat="1" ht="36" x14ac:dyDescent="0.25">
      <c r="A170" s="122" t="s">
        <v>632</v>
      </c>
      <c r="B170" s="123" t="s">
        <v>633</v>
      </c>
      <c r="C170" s="133">
        <v>3103.8</v>
      </c>
    </row>
    <row r="171" spans="1:3" s="124" customFormat="1" ht="48" x14ac:dyDescent="0.25">
      <c r="A171" s="122" t="s">
        <v>634</v>
      </c>
      <c r="B171" s="123" t="s">
        <v>635</v>
      </c>
      <c r="C171" s="133">
        <v>44333.1</v>
      </c>
    </row>
    <row r="172" spans="1:3" s="124" customFormat="1" ht="36" x14ac:dyDescent="0.25">
      <c r="A172" s="122" t="s">
        <v>636</v>
      </c>
      <c r="B172" s="123" t="s">
        <v>637</v>
      </c>
      <c r="C172" s="133">
        <f>52288.9-29500</f>
        <v>22788.9</v>
      </c>
    </row>
    <row r="173" spans="1:3" s="124" customFormat="1" ht="36" x14ac:dyDescent="0.25">
      <c r="A173" s="122" t="s">
        <v>638</v>
      </c>
      <c r="B173" s="123" t="s">
        <v>639</v>
      </c>
      <c r="C173" s="133">
        <v>4116.2</v>
      </c>
    </row>
    <row r="174" spans="1:3" s="124" customFormat="1" ht="36" x14ac:dyDescent="0.25">
      <c r="A174" s="122" t="s">
        <v>640</v>
      </c>
      <c r="B174" s="123" t="s">
        <v>641</v>
      </c>
      <c r="C174" s="133">
        <v>2660.8</v>
      </c>
    </row>
    <row r="175" spans="1:3" s="124" customFormat="1" ht="24" x14ac:dyDescent="0.25">
      <c r="A175" s="122" t="s">
        <v>642</v>
      </c>
      <c r="B175" s="123" t="s">
        <v>643</v>
      </c>
      <c r="C175" s="133">
        <v>1767.6</v>
      </c>
    </row>
    <row r="176" spans="1:3" s="124" customFormat="1" ht="36" x14ac:dyDescent="0.25">
      <c r="A176" s="122" t="s">
        <v>644</v>
      </c>
      <c r="B176" s="123" t="s">
        <v>645</v>
      </c>
      <c r="C176" s="133">
        <v>349.6</v>
      </c>
    </row>
    <row r="177" spans="1:3" s="124" customFormat="1" ht="24" x14ac:dyDescent="0.25">
      <c r="A177" s="122" t="s">
        <v>646</v>
      </c>
      <c r="B177" s="123" t="s">
        <v>647</v>
      </c>
      <c r="C177" s="133">
        <v>937.7</v>
      </c>
    </row>
    <row r="178" spans="1:3" s="124" customFormat="1" ht="24" x14ac:dyDescent="0.25">
      <c r="A178" s="122" t="s">
        <v>648</v>
      </c>
      <c r="B178" s="123" t="s">
        <v>649</v>
      </c>
      <c r="C178" s="133">
        <v>267.60000000000002</v>
      </c>
    </row>
    <row r="179" spans="1:3" s="124" customFormat="1" ht="24" x14ac:dyDescent="0.25">
      <c r="A179" s="122" t="s">
        <v>650</v>
      </c>
      <c r="B179" s="123" t="s">
        <v>651</v>
      </c>
      <c r="C179" s="133">
        <v>1232.9000000000001</v>
      </c>
    </row>
    <row r="180" spans="1:3" s="124" customFormat="1" ht="24" x14ac:dyDescent="0.25">
      <c r="A180" s="122" t="s">
        <v>652</v>
      </c>
      <c r="B180" s="123" t="s">
        <v>653</v>
      </c>
      <c r="C180" s="133">
        <v>2093.1</v>
      </c>
    </row>
    <row r="181" spans="1:3" s="124" customFormat="1" ht="36" x14ac:dyDescent="0.25">
      <c r="A181" s="122" t="s">
        <v>654</v>
      </c>
      <c r="B181" s="123" t="s">
        <v>655</v>
      </c>
      <c r="C181" s="133">
        <v>4072.6</v>
      </c>
    </row>
    <row r="182" spans="1:3" s="124" customFormat="1" ht="36" x14ac:dyDescent="0.25">
      <c r="A182" s="122" t="s">
        <v>656</v>
      </c>
      <c r="B182" s="123" t="s">
        <v>657</v>
      </c>
      <c r="C182" s="133">
        <v>1731.1</v>
      </c>
    </row>
    <row r="183" spans="1:3" s="124" customFormat="1" ht="24" x14ac:dyDescent="0.25">
      <c r="A183" s="122" t="s">
        <v>658</v>
      </c>
      <c r="B183" s="123" t="s">
        <v>659</v>
      </c>
      <c r="C183" s="133">
        <v>2501.1</v>
      </c>
    </row>
    <row r="184" spans="1:3" s="124" customFormat="1" ht="36" x14ac:dyDescent="0.25">
      <c r="A184" s="122" t="s">
        <v>660</v>
      </c>
      <c r="B184" s="123" t="s">
        <v>661</v>
      </c>
      <c r="C184" s="133">
        <v>2281.3000000000002</v>
      </c>
    </row>
    <row r="185" spans="1:3" s="124" customFormat="1" ht="36" x14ac:dyDescent="0.25">
      <c r="A185" s="122" t="s">
        <v>662</v>
      </c>
      <c r="B185" s="123" t="s">
        <v>663</v>
      </c>
      <c r="C185" s="133">
        <v>1438.2</v>
      </c>
    </row>
    <row r="186" spans="1:3" s="124" customFormat="1" ht="24" x14ac:dyDescent="0.25">
      <c r="A186" s="122" t="s">
        <v>664</v>
      </c>
      <c r="B186" s="123" t="s">
        <v>665</v>
      </c>
      <c r="C186" s="133">
        <f>3153.3+1400</f>
        <v>4553.3</v>
      </c>
    </row>
    <row r="187" spans="1:3" s="124" customFormat="1" ht="36" x14ac:dyDescent="0.25">
      <c r="A187" s="122" t="s">
        <v>666</v>
      </c>
      <c r="B187" s="123" t="s">
        <v>667</v>
      </c>
      <c r="C187" s="133">
        <f>30136.4-4000</f>
        <v>26136.400000000001</v>
      </c>
    </row>
    <row r="188" spans="1:3" s="124" customFormat="1" ht="36" x14ac:dyDescent="0.25">
      <c r="A188" s="122" t="s">
        <v>668</v>
      </c>
      <c r="B188" s="123" t="s">
        <v>669</v>
      </c>
      <c r="C188" s="133">
        <v>4828.3</v>
      </c>
    </row>
    <row r="189" spans="1:3" s="124" customFormat="1" ht="36" x14ac:dyDescent="0.25">
      <c r="A189" s="122">
        <v>75910</v>
      </c>
      <c r="B189" s="123" t="s">
        <v>707</v>
      </c>
      <c r="C189" s="133"/>
    </row>
    <row r="190" spans="1:3" s="124" customFormat="1" ht="24" x14ac:dyDescent="0.25">
      <c r="A190" s="122" t="s">
        <v>670</v>
      </c>
      <c r="B190" s="123" t="s">
        <v>671</v>
      </c>
      <c r="C190" s="133">
        <f>8164.4-2000</f>
        <v>6164.4</v>
      </c>
    </row>
    <row r="191" spans="1:3" s="124" customFormat="1" ht="24" x14ac:dyDescent="0.25">
      <c r="A191" s="122" t="s">
        <v>672</v>
      </c>
      <c r="B191" s="123" t="s">
        <v>673</v>
      </c>
      <c r="C191" s="133">
        <v>837.3</v>
      </c>
    </row>
    <row r="192" spans="1:3" s="124" customFormat="1" ht="24" x14ac:dyDescent="0.25">
      <c r="A192" s="122" t="s">
        <v>674</v>
      </c>
      <c r="B192" s="123" t="s">
        <v>675</v>
      </c>
      <c r="C192" s="133"/>
    </row>
    <row r="193" spans="1:3" s="124" customFormat="1" ht="24" x14ac:dyDescent="0.25">
      <c r="A193" s="122" t="s">
        <v>676</v>
      </c>
      <c r="B193" s="123" t="s">
        <v>677</v>
      </c>
      <c r="C193" s="133">
        <f>27748.1-2000</f>
        <v>25748.1</v>
      </c>
    </row>
    <row r="194" spans="1:3" s="124" customFormat="1" ht="36" x14ac:dyDescent="0.25">
      <c r="A194" s="122" t="s">
        <v>678</v>
      </c>
      <c r="B194" s="123" t="s">
        <v>679</v>
      </c>
      <c r="C194" s="133">
        <v>12373.4</v>
      </c>
    </row>
    <row r="195" spans="1:3" s="124" customFormat="1" ht="48" x14ac:dyDescent="0.25">
      <c r="A195" s="122" t="s">
        <v>680</v>
      </c>
      <c r="B195" s="123" t="s">
        <v>681</v>
      </c>
      <c r="C195" s="133">
        <v>1036.0999999999999</v>
      </c>
    </row>
    <row r="196" spans="1:3" s="124" customFormat="1" ht="36" x14ac:dyDescent="0.25">
      <c r="A196" s="122" t="s">
        <v>682</v>
      </c>
      <c r="B196" s="123" t="s">
        <v>683</v>
      </c>
      <c r="C196" s="133">
        <v>1705.8</v>
      </c>
    </row>
    <row r="197" spans="1:3" s="124" customFormat="1" ht="12" x14ac:dyDescent="0.25">
      <c r="A197" s="122" t="s">
        <v>684</v>
      </c>
      <c r="B197" s="123" t="s">
        <v>685</v>
      </c>
      <c r="C197" s="133">
        <v>40.1</v>
      </c>
    </row>
    <row r="198" spans="1:3" s="124" customFormat="1" ht="24" x14ac:dyDescent="0.25">
      <c r="A198" s="122" t="s">
        <v>686</v>
      </c>
      <c r="B198" s="123" t="s">
        <v>687</v>
      </c>
      <c r="C198" s="133">
        <v>31451.8</v>
      </c>
    </row>
    <row r="199" spans="1:3" s="124" customFormat="1" ht="36" x14ac:dyDescent="0.25">
      <c r="A199" s="122" t="s">
        <v>688</v>
      </c>
      <c r="B199" s="123" t="s">
        <v>689</v>
      </c>
      <c r="C199" s="133">
        <v>2911.3</v>
      </c>
    </row>
    <row r="200" spans="1:3" s="124" customFormat="1" ht="24" x14ac:dyDescent="0.25">
      <c r="A200" s="122" t="s">
        <v>690</v>
      </c>
      <c r="B200" s="123" t="s">
        <v>691</v>
      </c>
      <c r="C200" s="133">
        <v>7836.2</v>
      </c>
    </row>
    <row r="201" spans="1:3" s="124" customFormat="1" ht="24" x14ac:dyDescent="0.25">
      <c r="A201" s="122" t="s">
        <v>692</v>
      </c>
      <c r="B201" s="123" t="s">
        <v>693</v>
      </c>
      <c r="C201" s="133">
        <v>3299.2</v>
      </c>
    </row>
    <row r="202" spans="1:3" s="124" customFormat="1" ht="12" x14ac:dyDescent="0.25">
      <c r="A202" s="122" t="s">
        <v>694</v>
      </c>
      <c r="B202" s="123" t="s">
        <v>695</v>
      </c>
      <c r="C202" s="133">
        <v>1553.9</v>
      </c>
    </row>
    <row r="203" spans="1:3" s="124" customFormat="1" ht="18.75" customHeight="1" x14ac:dyDescent="0.25">
      <c r="A203" s="122">
        <v>88120</v>
      </c>
      <c r="B203" s="123" t="s">
        <v>713</v>
      </c>
      <c r="C203" s="133">
        <v>1781.2</v>
      </c>
    </row>
    <row r="204" spans="1:3" s="124" customFormat="1" ht="12" x14ac:dyDescent="0.25">
      <c r="A204" s="129"/>
      <c r="B204" s="129"/>
      <c r="C204" s="137"/>
    </row>
    <row r="205" spans="1:3" s="124" customFormat="1" ht="12" x14ac:dyDescent="0.25">
      <c r="A205" s="129"/>
      <c r="B205" s="129"/>
      <c r="C205" s="135"/>
    </row>
    <row r="206" spans="1:3" s="124" customFormat="1" ht="24" hidden="1" x14ac:dyDescent="0.25">
      <c r="A206" s="129"/>
      <c r="B206" s="125" t="s">
        <v>710</v>
      </c>
    </row>
    <row r="207" spans="1:3" s="124" customFormat="1" ht="12" hidden="1" x14ac:dyDescent="0.25">
      <c r="A207" s="129"/>
      <c r="B207" s="129"/>
    </row>
    <row r="208" spans="1:3" s="124" customFormat="1" ht="26.25" hidden="1" customHeight="1" x14ac:dyDescent="0.25">
      <c r="A208" s="129"/>
      <c r="B208" s="130" t="s">
        <v>23</v>
      </c>
      <c r="C208" s="136" t="s">
        <v>358</v>
      </c>
    </row>
    <row r="209" spans="1:3" s="124" customFormat="1" ht="12" hidden="1" customHeight="1" x14ac:dyDescent="0.25">
      <c r="A209" s="129"/>
      <c r="B209" s="138" t="s">
        <v>9</v>
      </c>
      <c r="C209" s="126" t="e">
        <f>C210+C211</f>
        <v>#REF!</v>
      </c>
    </row>
    <row r="210" spans="1:3" s="124" customFormat="1" ht="12" hidden="1" customHeight="1" x14ac:dyDescent="0.25">
      <c r="A210" s="129"/>
      <c r="B210" s="139" t="s">
        <v>8</v>
      </c>
      <c r="C210" s="132" t="e">
        <f>#REF!+#REF!-#REF!</f>
        <v>#REF!</v>
      </c>
    </row>
    <row r="211" spans="1:3" s="124" customFormat="1" ht="12" hidden="1" customHeight="1" x14ac:dyDescent="0.25">
      <c r="A211" s="129"/>
      <c r="B211" s="139" t="s">
        <v>7</v>
      </c>
      <c r="C211" s="131">
        <f t="shared" ref="C211" si="0">2092300+318173</f>
        <v>2410473</v>
      </c>
    </row>
    <row r="212" spans="1:3" s="2" customFormat="1" ht="10.199999999999999" hidden="1" x14ac:dyDescent="0.2">
      <c r="A212" s="116"/>
      <c r="B212" s="117"/>
    </row>
    <row r="213" spans="1:3" s="2" customFormat="1" ht="12" hidden="1" customHeight="1" x14ac:dyDescent="0.3">
      <c r="A213" s="103"/>
    </row>
    <row r="214" spans="1:3" s="103" customFormat="1" hidden="1" x14ac:dyDescent="0.3">
      <c r="B214" s="102"/>
    </row>
    <row r="215" spans="1:3" s="103" customFormat="1" hidden="1" x14ac:dyDescent="0.3">
      <c r="B215" s="118" t="s">
        <v>717</v>
      </c>
    </row>
    <row r="216" spans="1:3" s="103" customFormat="1" hidden="1" x14ac:dyDescent="0.3">
      <c r="B216" s="118" t="s">
        <v>352</v>
      </c>
    </row>
    <row r="217" spans="1:3" hidden="1" x14ac:dyDescent="0.3">
      <c r="A217" s="1"/>
      <c r="B217" s="118" t="s">
        <v>1</v>
      </c>
    </row>
    <row r="218" spans="1:3" hidden="1" x14ac:dyDescent="0.3"/>
    <row r="219" spans="1:3" hidden="1" x14ac:dyDescent="0.3"/>
    <row r="220" spans="1:3" hidden="1" x14ac:dyDescent="0.3">
      <c r="B220" s="118" t="s">
        <v>708</v>
      </c>
    </row>
    <row r="221" spans="1:3" hidden="1" x14ac:dyDescent="0.3">
      <c r="B221" s="118" t="s">
        <v>709</v>
      </c>
    </row>
    <row r="222" spans="1:3" x14ac:dyDescent="0.3">
      <c r="B222" s="118"/>
    </row>
    <row r="225" spans="2:2" s="103" customFormat="1" x14ac:dyDescent="0.3">
      <c r="B225" s="115"/>
    </row>
    <row r="226" spans="2:2" s="103" customFormat="1" x14ac:dyDescent="0.3">
      <c r="B226" s="115"/>
    </row>
  </sheetData>
  <pageMargins left="0.25" right="0.25" top="0.75" bottom="0.75" header="0.3" footer="0.3"/>
  <pageSetup paperSize="9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утвержд.</vt:lpstr>
      <vt:lpstr>утвержд</vt:lpstr>
      <vt:lpstr>уточн.бс</vt:lpstr>
      <vt:lpstr>утвержденный 12</vt:lpstr>
      <vt:lpstr>утвержд!Print_Area</vt:lpstr>
      <vt:lpstr>утвержд.!Print_Area</vt:lpstr>
      <vt:lpstr>'утвержденный 12'!Print_Area</vt:lpstr>
      <vt:lpstr>уточн.бс!Print_Area</vt:lpstr>
      <vt:lpstr>утвержд!Print_Titles</vt:lpstr>
      <vt:lpstr>утвержд.!Print_Titles</vt:lpstr>
      <vt:lpstr>'утвержденный 12'!Print_Titles</vt:lpstr>
      <vt:lpstr>уточн.бс!Print_Titles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Курманбек улуу Жуманазар</dc:creator>
  <cp:lastModifiedBy>Nurlan Aidiev</cp:lastModifiedBy>
  <cp:lastPrinted>2019-10-10T06:13:46Z</cp:lastPrinted>
  <dcterms:created xsi:type="dcterms:W3CDTF">2016-08-18T08:30:26Z</dcterms:created>
  <dcterms:modified xsi:type="dcterms:W3CDTF">2020-01-31T04:36:10Z</dcterms:modified>
</cp:coreProperties>
</file>