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55" windowHeight="87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1" i="1" l="1"/>
  <c r="L119" i="1"/>
  <c r="E119" i="1"/>
  <c r="D117" i="1"/>
  <c r="D111" i="1"/>
  <c r="M110" i="1"/>
  <c r="L110" i="1"/>
  <c r="D110" i="1"/>
  <c r="M106" i="1"/>
  <c r="M103" i="1"/>
  <c r="L103" i="1"/>
  <c r="D102" i="1"/>
  <c r="L100" i="1"/>
  <c r="L98" i="1"/>
  <c r="G96" i="1"/>
  <c r="G94" i="1"/>
  <c r="F94" i="1"/>
  <c r="F92" i="1"/>
  <c r="L90" i="1"/>
  <c r="M88" i="1"/>
  <c r="E87" i="1"/>
  <c r="M86" i="1"/>
  <c r="F86" i="1"/>
  <c r="L85" i="1"/>
  <c r="L84" i="1"/>
  <c r="D82" i="1"/>
  <c r="D81" i="1"/>
  <c r="D80" i="1"/>
  <c r="L78" i="1"/>
  <c r="D77" i="1"/>
  <c r="H75" i="1"/>
  <c r="D75" i="1"/>
  <c r="E73" i="1"/>
  <c r="F72" i="1"/>
  <c r="D72" i="1"/>
  <c r="F71" i="1"/>
  <c r="D71" i="1"/>
  <c r="D70" i="1"/>
  <c r="D69" i="1"/>
  <c r="F68" i="1"/>
  <c r="D68" i="1"/>
  <c r="L67" i="1"/>
  <c r="G67" i="1"/>
  <c r="F67" i="1"/>
  <c r="D67" i="1"/>
  <c r="M66" i="1"/>
  <c r="H66" i="1"/>
  <c r="G66" i="1"/>
  <c r="F66" i="1"/>
  <c r="E66" i="1"/>
  <c r="D66" i="1"/>
  <c r="M65" i="1"/>
  <c r="F65" i="1"/>
  <c r="E65" i="1"/>
  <c r="D65" i="1"/>
  <c r="L64" i="1"/>
  <c r="G64" i="1"/>
  <c r="D64" i="1"/>
  <c r="D63" i="1"/>
  <c r="M62" i="1"/>
  <c r="E62" i="1"/>
  <c r="F61" i="1"/>
  <c r="M60" i="1"/>
  <c r="F60" i="1"/>
  <c r="D60" i="1"/>
  <c r="L59" i="1"/>
  <c r="E59" i="1"/>
  <c r="M58" i="1"/>
  <c r="L58" i="1"/>
  <c r="M57" i="1"/>
  <c r="E57" i="1"/>
  <c r="L56" i="1"/>
  <c r="F56" i="1"/>
  <c r="D56" i="1"/>
  <c r="M55" i="1"/>
  <c r="F55" i="1"/>
  <c r="D55" i="1"/>
  <c r="M54" i="1"/>
  <c r="M53" i="1"/>
  <c r="G53" i="1"/>
  <c r="E53" i="1"/>
  <c r="D53" i="1"/>
  <c r="M52" i="1"/>
  <c r="L52" i="1"/>
  <c r="G52" i="1"/>
  <c r="E52" i="1"/>
  <c r="D52" i="1"/>
  <c r="M51" i="1"/>
  <c r="G51" i="1"/>
  <c r="F51" i="1"/>
  <c r="E51" i="1"/>
  <c r="M50" i="1"/>
  <c r="H50" i="1"/>
  <c r="G50" i="1"/>
  <c r="F50" i="1"/>
  <c r="E50" i="1"/>
  <c r="D50" i="1"/>
  <c r="M49" i="1"/>
  <c r="L49" i="1"/>
  <c r="F49" i="1"/>
  <c r="M48" i="1"/>
  <c r="L47" i="1"/>
  <c r="G47" i="1"/>
  <c r="F47" i="1"/>
  <c r="E47" i="1"/>
  <c r="L46" i="1"/>
  <c r="H46" i="1"/>
  <c r="G46" i="1"/>
  <c r="F46" i="1"/>
  <c r="E46" i="1"/>
  <c r="D46" i="1"/>
  <c r="M45" i="1"/>
  <c r="L45" i="1"/>
  <c r="D45" i="1"/>
  <c r="L44" i="1"/>
  <c r="G44" i="1"/>
  <c r="F44" i="1"/>
  <c r="D44" i="1"/>
  <c r="L43" i="1"/>
  <c r="H43" i="1"/>
  <c r="F43" i="1"/>
  <c r="D43" i="1"/>
  <c r="E42" i="1"/>
  <c r="D42" i="1"/>
  <c r="D41" i="1"/>
  <c r="L40" i="1"/>
  <c r="G40" i="1"/>
  <c r="F40" i="1"/>
  <c r="D40" i="1"/>
  <c r="M39" i="1"/>
  <c r="L39" i="1"/>
  <c r="G39" i="1"/>
  <c r="F39" i="1"/>
  <c r="F38" i="1"/>
  <c r="M37" i="1"/>
  <c r="I37" i="1"/>
  <c r="M36" i="1"/>
  <c r="M35" i="1"/>
  <c r="M34" i="1"/>
  <c r="F34" i="1"/>
  <c r="L33" i="1"/>
  <c r="L32" i="1"/>
  <c r="H32" i="1"/>
  <c r="G32" i="1"/>
  <c r="F32" i="1"/>
  <c r="D32" i="1"/>
  <c r="L31" i="1"/>
  <c r="H31" i="1"/>
  <c r="F31" i="1"/>
  <c r="D31" i="1"/>
  <c r="L30" i="1"/>
  <c r="H30" i="1"/>
  <c r="G30" i="1"/>
  <c r="F30" i="1"/>
  <c r="E30" i="1"/>
  <c r="D30" i="1"/>
  <c r="H29" i="1"/>
  <c r="G29" i="1"/>
  <c r="F29" i="1"/>
  <c r="E29" i="1"/>
  <c r="D29" i="1"/>
  <c r="F28" i="1"/>
  <c r="D28" i="1"/>
  <c r="G27" i="1"/>
  <c r="F27" i="1"/>
  <c r="D27" i="1"/>
  <c r="D24" i="1"/>
  <c r="D23" i="1"/>
  <c r="M22" i="1"/>
  <c r="G22" i="1"/>
  <c r="G21" i="1"/>
  <c r="D21" i="1"/>
  <c r="G20" i="1"/>
  <c r="D20" i="1"/>
  <c r="H19" i="1"/>
  <c r="G19" i="1"/>
  <c r="F19" i="1"/>
  <c r="D19" i="1"/>
  <c r="L18" i="1"/>
  <c r="F18" i="1"/>
  <c r="D18" i="1"/>
  <c r="H17" i="1"/>
  <c r="G17" i="1"/>
  <c r="F17" i="1"/>
  <c r="E17" i="1"/>
  <c r="M15" i="1"/>
  <c r="F15" i="1"/>
  <c r="M14" i="1"/>
  <c r="L14" i="1"/>
  <c r="H14" i="1"/>
  <c r="G14" i="1"/>
  <c r="F14" i="1"/>
  <c r="E14" i="1"/>
  <c r="D14" i="1"/>
  <c r="M13" i="1"/>
  <c r="H13" i="1"/>
  <c r="G13" i="1"/>
  <c r="F13" i="1"/>
  <c r="D13" i="1"/>
  <c r="H12" i="1"/>
  <c r="F12" i="1"/>
  <c r="D12" i="1"/>
  <c r="L11" i="1"/>
  <c r="H11" i="1"/>
  <c r="G11" i="1"/>
  <c r="F11" i="1"/>
  <c r="D11" i="1"/>
  <c r="M10" i="1"/>
  <c r="F10" i="1"/>
  <c r="D9" i="1"/>
  <c r="L8" i="1"/>
  <c r="H8" i="1"/>
  <c r="G8" i="1"/>
  <c r="F8" i="1"/>
  <c r="L7" i="1"/>
  <c r="I7" i="1"/>
  <c r="H7" i="1"/>
  <c r="G7" i="1"/>
  <c r="F7" i="1"/>
  <c r="E7" i="1"/>
  <c r="D7" i="1"/>
  <c r="M6" i="1"/>
  <c r="L6" i="1"/>
  <c r="H6" i="1"/>
  <c r="G6" i="1"/>
  <c r="F6" i="1"/>
  <c r="E6" i="1"/>
  <c r="D6" i="1"/>
  <c r="M5" i="1"/>
  <c r="F5" i="1"/>
  <c r="M4" i="1"/>
  <c r="L4" i="1"/>
  <c r="H4" i="1"/>
  <c r="F4" i="1"/>
  <c r="D4" i="1"/>
</calcChain>
</file>

<file path=xl/sharedStrings.xml><?xml version="1.0" encoding="utf-8"?>
<sst xmlns="http://schemas.openxmlformats.org/spreadsheetml/2006/main" count="270" uniqueCount="137">
  <si>
    <t>№</t>
  </si>
  <si>
    <t>Вид животных и наименование продуктов и сырья животного происхождения</t>
  </si>
  <si>
    <t>Ед. изм</t>
  </si>
  <si>
    <t>Российская Федерация</t>
  </si>
  <si>
    <t>Республика Казахстан</t>
  </si>
  <si>
    <t>Республика Беларусь</t>
  </si>
  <si>
    <t>Республика Армения</t>
  </si>
  <si>
    <t>ввоз</t>
  </si>
  <si>
    <t>вывоз</t>
  </si>
  <si>
    <t>КРС</t>
  </si>
  <si>
    <t>гол.</t>
  </si>
  <si>
    <t>МРС</t>
  </si>
  <si>
    <t>Лошади</t>
  </si>
  <si>
    <t>Мясо птицы</t>
  </si>
  <si>
    <t>тн.</t>
  </si>
  <si>
    <t>Мясо говядина</t>
  </si>
  <si>
    <t>Мясо свинина</t>
  </si>
  <si>
    <t>Мясо баранина</t>
  </si>
  <si>
    <t>Мясная продукция</t>
  </si>
  <si>
    <t>Мясные консервы</t>
  </si>
  <si>
    <t>Молочная продукция</t>
  </si>
  <si>
    <t>Сыр</t>
  </si>
  <si>
    <t>Шоро</t>
  </si>
  <si>
    <t>Курут в ассортименте</t>
  </si>
  <si>
    <t xml:space="preserve">Масло сливочное </t>
  </si>
  <si>
    <t>Йогурт</t>
  </si>
  <si>
    <t>Мороженое</t>
  </si>
  <si>
    <t>Сухая сыворотка</t>
  </si>
  <si>
    <t>Сливки</t>
  </si>
  <si>
    <t xml:space="preserve">Сухое молоко </t>
  </si>
  <si>
    <t>Заменитель молока</t>
  </si>
  <si>
    <t>Сгущенное молоко</t>
  </si>
  <si>
    <t>Молоко пастеризованное</t>
  </si>
  <si>
    <t>Молочные консервы</t>
  </si>
  <si>
    <t>Колбасные изделия</t>
  </si>
  <si>
    <t>Рыба замороженная и морепродукты</t>
  </si>
  <si>
    <t>Рыбные консервы</t>
  </si>
  <si>
    <t xml:space="preserve">Яйца продовольственное </t>
  </si>
  <si>
    <t>шт.</t>
  </si>
  <si>
    <t>Шкур КРС</t>
  </si>
  <si>
    <t>Голье шкур КРС</t>
  </si>
  <si>
    <t>Шкур МРС</t>
  </si>
  <si>
    <t>Шерсть МРС</t>
  </si>
  <si>
    <t>Комбикорм добавки био</t>
  </si>
  <si>
    <t>Кормовые дрожжи</t>
  </si>
  <si>
    <t>Кормовая мука</t>
  </si>
  <si>
    <t>Кормовые добавки</t>
  </si>
  <si>
    <t>Корм для животных и птиц</t>
  </si>
  <si>
    <t>Корм для непродуктивных животных</t>
  </si>
  <si>
    <t>Корм для рыб</t>
  </si>
  <si>
    <t>Корм для собак и кошек</t>
  </si>
  <si>
    <t>Куриные лапки</t>
  </si>
  <si>
    <t>Собаки</t>
  </si>
  <si>
    <t>Кошки</t>
  </si>
  <si>
    <t>Живые птицы (голуби, попугай,куры,перепелки)</t>
  </si>
  <si>
    <t>Мёд натуральный</t>
  </si>
  <si>
    <t>Зерно фуражное</t>
  </si>
  <si>
    <t>Ветпрепараты</t>
  </si>
  <si>
    <t xml:space="preserve">Охотничий трофей </t>
  </si>
  <si>
    <t xml:space="preserve">Субпродукты КРС </t>
  </si>
  <si>
    <t>Субпродукты птиц</t>
  </si>
  <si>
    <t>Детское питание</t>
  </si>
  <si>
    <t>Суточные цыплята</t>
  </si>
  <si>
    <t>Жир говяжий</t>
  </si>
  <si>
    <t>Продукты питания</t>
  </si>
  <si>
    <t xml:space="preserve">Икра </t>
  </si>
  <si>
    <t>Шрот</t>
  </si>
  <si>
    <t>Сосиски</t>
  </si>
  <si>
    <t>Рыбная мука</t>
  </si>
  <si>
    <t>Пищевые добавки</t>
  </si>
  <si>
    <t>Свиньи</t>
  </si>
  <si>
    <t>Кишечная оболочка</t>
  </si>
  <si>
    <t>Желатин</t>
  </si>
  <si>
    <t xml:space="preserve">Супбульон </t>
  </si>
  <si>
    <t>Кишки МРС</t>
  </si>
  <si>
    <t>Рыбий жир</t>
  </si>
  <si>
    <t>Рыба декаративная</t>
  </si>
  <si>
    <t>Желток яичный сухой</t>
  </si>
  <si>
    <t>Кролик</t>
  </si>
  <si>
    <t>Курдюк МРС</t>
  </si>
  <si>
    <t>Конские хвосты</t>
  </si>
  <si>
    <t>Субпродукты МРС</t>
  </si>
  <si>
    <t>Соль кормовая</t>
  </si>
  <si>
    <t>Кожа грудки ЦБ</t>
  </si>
  <si>
    <t>Макаронные изделия</t>
  </si>
  <si>
    <t>Малёк</t>
  </si>
  <si>
    <t>Пчелопакет</t>
  </si>
  <si>
    <t>Рафинированный жир</t>
  </si>
  <si>
    <t>Суточные утята</t>
  </si>
  <si>
    <t>ящ.</t>
  </si>
  <si>
    <t>Дождевые черви</t>
  </si>
  <si>
    <t>Черева свиньи</t>
  </si>
  <si>
    <t>Шиншилла</t>
  </si>
  <si>
    <t>Шерсть верблюда</t>
  </si>
  <si>
    <t>Говяжьи книжки</t>
  </si>
  <si>
    <t>Кисломолочный продукт</t>
  </si>
  <si>
    <t>литр</t>
  </si>
  <si>
    <t>Кисть хвоста КРС</t>
  </si>
  <si>
    <t>Беркут</t>
  </si>
  <si>
    <t>Сокол</t>
  </si>
  <si>
    <t>Ястреб</t>
  </si>
  <si>
    <t xml:space="preserve">ЕАЭС и третьих стран за 12 месяцев 2024г. </t>
  </si>
  <si>
    <t>Третьи страны</t>
  </si>
  <si>
    <t>транзит</t>
  </si>
  <si>
    <t>Сухие сливки</t>
  </si>
  <si>
    <t>Творожные шарики</t>
  </si>
  <si>
    <t xml:space="preserve">Яйца инкубационные </t>
  </si>
  <si>
    <t>Вет Блю Шкур КРС</t>
  </si>
  <si>
    <t>Птица щегол</t>
  </si>
  <si>
    <t>Ослы</t>
  </si>
  <si>
    <t xml:space="preserve">Бычий стержень </t>
  </si>
  <si>
    <t>Икра оплодотворенная</t>
  </si>
  <si>
    <t>Конские шкуры</t>
  </si>
  <si>
    <t>Кишечное сырьё</t>
  </si>
  <si>
    <t>Эмульгатор</t>
  </si>
  <si>
    <t>Бараньи черева</t>
  </si>
  <si>
    <t>Инкубационное яйцо индейки</t>
  </si>
  <si>
    <t>Пиявки медицинские</t>
  </si>
  <si>
    <t>Пчелиная пыльца</t>
  </si>
  <si>
    <t>Семена быков производителей</t>
  </si>
  <si>
    <t>доз.</t>
  </si>
  <si>
    <t>Шкуры конские</t>
  </si>
  <si>
    <t>Яки</t>
  </si>
  <si>
    <t>Желчный камень КРС</t>
  </si>
  <si>
    <t>Грубый волос животных</t>
  </si>
  <si>
    <t>Субпродукты свиньи</t>
  </si>
  <si>
    <t>Молодь устрицы</t>
  </si>
  <si>
    <t>Устричный сет</t>
  </si>
  <si>
    <t>Барс</t>
  </si>
  <si>
    <t>Шкура верблюда</t>
  </si>
  <si>
    <t>Вакцина</t>
  </si>
  <si>
    <t>Змея</t>
  </si>
  <si>
    <t>Винторогий козел</t>
  </si>
  <si>
    <t>Марал</t>
  </si>
  <si>
    <t>Мускус кабарги</t>
  </si>
  <si>
    <t>Живая рыба</t>
  </si>
  <si>
    <t>Ёжик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</si>
</sst>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3" fontId="2" fillId="0" borderId="1" xfId="0" applyNumberFormat="1" applyFont="1" applyFill="1" applyBorder="1" applyAlignment="1"/>
    <xf numFmtId="164" fontId="2" fillId="0" borderId="1" xfId="0" applyNumberFormat="1" applyFont="1" applyBorder="1" applyAlignment="1"/>
    <xf numFmtId="3" fontId="2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3" fontId="2" fillId="0" borderId="1" xfId="0" applyNumberFormat="1" applyFont="1" applyFill="1" applyBorder="1" applyAlignment="1">
      <alignment wrapText="1"/>
    </xf>
    <xf numFmtId="3" fontId="3" fillId="0" borderId="1" xfId="0" applyNumberFormat="1" applyFont="1" applyFill="1" applyBorder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Fill="1" applyBorder="1" applyAlignment="1"/>
    <xf numFmtId="164" fontId="3" fillId="0" borderId="1" xfId="0" applyNumberFormat="1" applyFont="1" applyFill="1" applyBorder="1" applyAlignment="1">
      <alignment horizontal="right" shrinkToFit="1"/>
    </xf>
    <xf numFmtId="3" fontId="4" fillId="0" borderId="1" xfId="0" applyNumberFormat="1" applyFont="1" applyFill="1" applyBorder="1"/>
    <xf numFmtId="3" fontId="2" fillId="0" borderId="1" xfId="0" applyNumberFormat="1" applyFont="1" applyFill="1" applyBorder="1"/>
    <xf numFmtId="3" fontId="2" fillId="0" borderId="1" xfId="0" applyNumberFormat="1" applyFont="1" applyBorder="1" applyAlignment="1"/>
    <xf numFmtId="3" fontId="3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/>
    <xf numFmtId="4" fontId="2" fillId="0" borderId="1" xfId="0" applyNumberFormat="1" applyFont="1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workbookViewId="0">
      <selection sqref="A1:N1"/>
    </sheetView>
  </sheetViews>
  <sheetFormatPr defaultRowHeight="15" x14ac:dyDescent="0.25"/>
  <cols>
    <col min="1" max="1" width="4.28515625" bestFit="1" customWidth="1"/>
    <col min="2" max="2" width="48.7109375" customWidth="1"/>
    <col min="3" max="3" width="8.42578125" bestFit="1" customWidth="1"/>
    <col min="4" max="4" width="11" bestFit="1" customWidth="1"/>
    <col min="5" max="5" width="7.7109375" bestFit="1" customWidth="1"/>
    <col min="6" max="6" width="11" bestFit="1" customWidth="1"/>
    <col min="7" max="7" width="8.7109375" bestFit="1" customWidth="1"/>
    <col min="8" max="8" width="9.85546875" bestFit="1" customWidth="1"/>
    <col min="9" max="9" width="7.7109375" bestFit="1" customWidth="1"/>
    <col min="10" max="10" width="8" customWidth="1"/>
    <col min="11" max="11" width="7.28515625" bestFit="1" customWidth="1"/>
    <col min="12" max="12" width="11.28515625" bestFit="1" customWidth="1"/>
  </cols>
  <sheetData>
    <row r="1" spans="1:14" ht="15.75" x14ac:dyDescent="0.25">
      <c r="A1" s="12" t="s">
        <v>101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2.450000000000003" customHeight="1" x14ac:dyDescent="0.25">
      <c r="A2" s="13" t="s">
        <v>0</v>
      </c>
      <c r="B2" s="13" t="s">
        <v>1</v>
      </c>
      <c r="C2" s="14" t="s">
        <v>2</v>
      </c>
      <c r="D2" s="15" t="s">
        <v>3</v>
      </c>
      <c r="E2" s="15"/>
      <c r="F2" s="15" t="s">
        <v>4</v>
      </c>
      <c r="G2" s="15"/>
      <c r="H2" s="15" t="s">
        <v>5</v>
      </c>
      <c r="I2" s="15"/>
      <c r="J2" s="15" t="s">
        <v>6</v>
      </c>
      <c r="K2" s="15"/>
      <c r="L2" s="15" t="s">
        <v>102</v>
      </c>
      <c r="M2" s="15"/>
      <c r="N2" s="16" t="s">
        <v>103</v>
      </c>
    </row>
    <row r="3" spans="1:14" ht="31.5" x14ac:dyDescent="0.25">
      <c r="A3" s="13"/>
      <c r="B3" s="13"/>
      <c r="C3" s="14"/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1" t="s">
        <v>7</v>
      </c>
      <c r="K3" s="1" t="s">
        <v>8</v>
      </c>
      <c r="L3" s="1" t="s">
        <v>7</v>
      </c>
      <c r="M3" s="1" t="s">
        <v>8</v>
      </c>
      <c r="N3" s="17"/>
    </row>
    <row r="4" spans="1:14" ht="15.75" x14ac:dyDescent="0.25">
      <c r="A4" s="2">
        <v>1</v>
      </c>
      <c r="B4" s="2" t="s">
        <v>9</v>
      </c>
      <c r="C4" s="2" t="s">
        <v>10</v>
      </c>
      <c r="D4" s="3">
        <f>34+605+1290+703+837+780+1360+1632+2483+5461+6644+9162+8394</f>
        <v>39385</v>
      </c>
      <c r="E4" s="3"/>
      <c r="F4" s="3">
        <f>115+433+463+794+973+851+197+482</f>
        <v>4308</v>
      </c>
      <c r="G4" s="3"/>
      <c r="H4" s="3">
        <f>18+24</f>
        <v>42</v>
      </c>
      <c r="I4" s="3"/>
      <c r="J4" s="3"/>
      <c r="K4" s="3"/>
      <c r="L4" s="3">
        <f>30+31+31+31+62</f>
        <v>185</v>
      </c>
      <c r="M4" s="18">
        <f>6182+1085+8852+7181+5013+13925+12835+10852+11982+29695+22803+26852+18391+10343</f>
        <v>185991</v>
      </c>
      <c r="N4" s="19"/>
    </row>
    <row r="5" spans="1:14" ht="15.75" x14ac:dyDescent="0.25">
      <c r="A5" s="2">
        <v>2</v>
      </c>
      <c r="B5" s="2" t="s">
        <v>11</v>
      </c>
      <c r="C5" s="2" t="s">
        <v>10</v>
      </c>
      <c r="D5" s="3"/>
      <c r="E5" s="3">
        <v>2</v>
      </c>
      <c r="F5" s="3">
        <f>70+130+288</f>
        <v>488</v>
      </c>
      <c r="G5" s="3"/>
      <c r="H5" s="3"/>
      <c r="I5" s="3"/>
      <c r="J5" s="3"/>
      <c r="K5" s="3"/>
      <c r="L5" s="3"/>
      <c r="M5" s="18">
        <f>4491+1140+10603+5764+2428+10799+8729+9979+16459+20622+20450+18572+14833+8878</f>
        <v>153747</v>
      </c>
      <c r="N5" s="19"/>
    </row>
    <row r="6" spans="1:14" ht="15.75" x14ac:dyDescent="0.25">
      <c r="A6" s="2">
        <v>3</v>
      </c>
      <c r="B6" s="2" t="s">
        <v>12</v>
      </c>
      <c r="C6" s="2" t="s">
        <v>10</v>
      </c>
      <c r="D6" s="3">
        <f>4+4+331+212+347+398+289+626+470+752+886+1486+2335+2224</f>
        <v>10364</v>
      </c>
      <c r="E6" s="3">
        <f>2+7+8+2+23+32+54+25+4+3+8+7+47+21</f>
        <v>243</v>
      </c>
      <c r="F6" s="3">
        <f>6+8+6+2+19+2+10+13+32+14+17+6</f>
        <v>135</v>
      </c>
      <c r="G6" s="3">
        <f>2+236+18+421+370+395+88+7+20+20+136+20+29+2</f>
        <v>1764</v>
      </c>
      <c r="H6" s="3">
        <f>6+9</f>
        <v>15</v>
      </c>
      <c r="I6" s="3"/>
      <c r="J6" s="3"/>
      <c r="K6" s="3"/>
      <c r="L6" s="3">
        <f>27+45+75+4+87+54+78+47+33+62+106+53</f>
        <v>671</v>
      </c>
      <c r="M6" s="3">
        <f>139+40+7+333+51+513+934+656+328+398+572+778+2051+1561+1239</f>
        <v>9600</v>
      </c>
      <c r="N6" s="19"/>
    </row>
    <row r="7" spans="1:14" ht="15.75" x14ac:dyDescent="0.25">
      <c r="A7" s="2">
        <v>4</v>
      </c>
      <c r="B7" s="2" t="s">
        <v>13</v>
      </c>
      <c r="C7" s="2" t="s">
        <v>14</v>
      </c>
      <c r="D7" s="4">
        <f>55.384+1428.425+2029.276+1561.964+1503.375+1753.958+1781.95+1570.337+1964.234+2405.94+1930.644+2372.617+1950.392</f>
        <v>22308.495999999999</v>
      </c>
      <c r="E7" s="4">
        <f>42+84+60.004+80+20+4.622+168.443+125</f>
        <v>584.06900000000007</v>
      </c>
      <c r="F7" s="4">
        <f>40+873.81+900.802+845.605+831.5+1216.277+1228.637+1056.313+1209.01709+1503.356+1150.043+1243.069+1504.242</f>
        <v>13602.67109</v>
      </c>
      <c r="G7" s="5">
        <f>467.37+639.255+289+843.951+1549.024+1496.634+1174.58+1007.56+1250.655+557.324+719.45+513.254</f>
        <v>10508.057000000003</v>
      </c>
      <c r="H7" s="5">
        <f>19.5+284.793+491.064+729.942+861.869+553.963+710.981+650.53+633.097+784.457+747.518+708.329+785.294</f>
        <v>7961.3369999999995</v>
      </c>
      <c r="I7" s="5">
        <f>61.036+101.036+41.036+60+20+61.236+20+41.036+41</f>
        <v>446.38</v>
      </c>
      <c r="J7" s="5"/>
      <c r="K7" s="5"/>
      <c r="L7" s="5">
        <f>1368+66+247.58+295.637+3332.45+3400.507+4731.124+4388.374+5585.5+2754.752+4560.311+5391.319+4553.105+4040.12+4681.184</f>
        <v>49395.963000000003</v>
      </c>
      <c r="M7" s="5"/>
      <c r="N7" s="20"/>
    </row>
    <row r="8" spans="1:14" ht="15.75" x14ac:dyDescent="0.25">
      <c r="A8" s="2">
        <v>5</v>
      </c>
      <c r="B8" s="2" t="s">
        <v>15</v>
      </c>
      <c r="C8" s="2" t="s">
        <v>14</v>
      </c>
      <c r="D8" s="4"/>
      <c r="E8" s="4">
        <v>19.850000000000001</v>
      </c>
      <c r="F8" s="4">
        <f>33.232+9.314+31.065+10.225+52.532+21.592+55.76+84.929+155.612+156.018</f>
        <v>610.279</v>
      </c>
      <c r="G8" s="5">
        <f>10+42</f>
        <v>52</v>
      </c>
      <c r="H8" s="5">
        <f>19.8+19.987</f>
        <v>39.786999999999999</v>
      </c>
      <c r="I8" s="5"/>
      <c r="J8" s="5"/>
      <c r="K8" s="5">
        <v>0.14599999999999999</v>
      </c>
      <c r="L8" s="5">
        <f>19.85+40.699+66+20</f>
        <v>146.54900000000001</v>
      </c>
      <c r="M8" s="5"/>
      <c r="N8" s="20"/>
    </row>
    <row r="9" spans="1:14" ht="15.75" x14ac:dyDescent="0.25">
      <c r="A9" s="2">
        <v>6</v>
      </c>
      <c r="B9" s="2" t="s">
        <v>16</v>
      </c>
      <c r="C9" s="2" t="s">
        <v>14</v>
      </c>
      <c r="D9" s="4">
        <f>47.952+56.281+84.97+88.237+78.602+115.488+108.192+108.686+137.18+86.755+72.812</f>
        <v>985.15499999999997</v>
      </c>
      <c r="E9" s="4"/>
      <c r="F9" s="4"/>
      <c r="G9" s="5">
        <v>1.7</v>
      </c>
      <c r="H9" s="5">
        <v>17.489000000000001</v>
      </c>
      <c r="I9" s="5"/>
      <c r="J9" s="5"/>
      <c r="K9" s="5"/>
      <c r="L9" s="5"/>
      <c r="M9" s="5"/>
      <c r="N9" s="20"/>
    </row>
    <row r="10" spans="1:14" ht="15.75" x14ac:dyDescent="0.25">
      <c r="A10" s="2">
        <v>7</v>
      </c>
      <c r="B10" s="6" t="s">
        <v>17</v>
      </c>
      <c r="C10" s="6" t="s">
        <v>14</v>
      </c>
      <c r="D10" s="7"/>
      <c r="E10" s="7"/>
      <c r="F10" s="7">
        <f>16.1+62.73+60.06+37.92+10.38+12.503+26.618</f>
        <v>226.31099999999998</v>
      </c>
      <c r="G10" s="7"/>
      <c r="H10" s="7"/>
      <c r="I10" s="7"/>
      <c r="J10" s="7"/>
      <c r="K10" s="7"/>
      <c r="L10" s="7"/>
      <c r="M10" s="7">
        <f>9.86+38.008+33.903+74.8+12</f>
        <v>168.571</v>
      </c>
      <c r="N10" s="7"/>
    </row>
    <row r="11" spans="1:14" ht="15.75" x14ac:dyDescent="0.25">
      <c r="A11" s="2">
        <v>8</v>
      </c>
      <c r="B11" s="2" t="s">
        <v>18</v>
      </c>
      <c r="C11" s="2" t="s">
        <v>14</v>
      </c>
      <c r="D11" s="4">
        <f>48.808+103.651+95.57+9.384+25.112+56.72+59.528+69.836+99.554+56.901+101.635+37.898+80.316</f>
        <v>844.91300000000001</v>
      </c>
      <c r="E11" s="4">
        <v>40.698999999999998</v>
      </c>
      <c r="F11" s="4">
        <f>9.518+0.52+0.155+0.13+0.133+0.76+0.96</f>
        <v>12.175999999999998</v>
      </c>
      <c r="G11" s="5">
        <f>0.8+3.426+0.215+0.205+0.538+4.635+0.343+4.408+0.261+1.915+4.509</f>
        <v>21.254999999999999</v>
      </c>
      <c r="H11" s="5">
        <f>3.054+18.441+80.86+74.519+17.596+98.632+88.576+76.108+58.211+70.909+77.535</f>
        <v>664.44099999999992</v>
      </c>
      <c r="I11" s="5"/>
      <c r="J11" s="5"/>
      <c r="K11" s="5"/>
      <c r="L11" s="5">
        <f>0.03+38.004</f>
        <v>38.033999999999999</v>
      </c>
      <c r="M11" s="5"/>
      <c r="N11" s="20"/>
    </row>
    <row r="12" spans="1:14" ht="15.75" x14ac:dyDescent="0.25">
      <c r="A12" s="2">
        <v>9</v>
      </c>
      <c r="B12" s="2" t="s">
        <v>19</v>
      </c>
      <c r="C12" s="2" t="s">
        <v>14</v>
      </c>
      <c r="D12" s="4">
        <f>10.675+1.677+4.04+2.596+4.129+14.858+10.473+5.839+6.405</f>
        <v>60.691999999999993</v>
      </c>
      <c r="E12" s="4"/>
      <c r="F12" s="4">
        <f>55.252+45.7386</f>
        <v>100.9906</v>
      </c>
      <c r="G12" s="5"/>
      <c r="H12" s="5">
        <f>21.245+4.082+15.21+2.041+2.041</f>
        <v>44.619</v>
      </c>
      <c r="I12" s="5">
        <v>1.36</v>
      </c>
      <c r="J12" s="5"/>
      <c r="K12" s="5"/>
      <c r="L12" s="5"/>
      <c r="M12" s="5"/>
      <c r="N12" s="20"/>
    </row>
    <row r="13" spans="1:14" ht="15.75" x14ac:dyDescent="0.25">
      <c r="A13" s="2">
        <v>10</v>
      </c>
      <c r="B13" s="2" t="s">
        <v>20</v>
      </c>
      <c r="C13" s="2" t="s">
        <v>14</v>
      </c>
      <c r="D13" s="4">
        <f>23.752+427.38+481.253+497.116+1625.001+678.505+12+622.564+561.696+16.2+414.829+538.554+755.782+691.197+689.961</f>
        <v>8035.79</v>
      </c>
      <c r="E13" s="4"/>
      <c r="F13" s="4">
        <f>1.633+131.977+165.944+98.173+127.676+5+106.547+0.2+135.563+178.9+150.724+157.192+107.606+63.571+120.325+174.526</f>
        <v>1725.557</v>
      </c>
      <c r="G13" s="5">
        <f>50.451+1326.118+1993.779+2041.257+2411.591+41.912+2000.552+1761.266+1714.55+8.359+1751.539+1929.869+2101.211+1790.589+2112.153</f>
        <v>23035.195999999996</v>
      </c>
      <c r="H13" s="5">
        <f>39.447+82.925+99.869+185.336+61.833+106.093+83.824+76.924+130.706+107.167+131.997+97.76</f>
        <v>1203.8809999999999</v>
      </c>
      <c r="I13" s="5"/>
      <c r="J13" s="5"/>
      <c r="K13" s="5"/>
      <c r="L13" s="5">
        <v>21.463000000000001</v>
      </c>
      <c r="M13" s="5">
        <f>1.562+37.63+23.781+65.718+38.775+62.9+84.072+106.541+57.83</f>
        <v>478.80899999999997</v>
      </c>
      <c r="N13" s="20"/>
    </row>
    <row r="14" spans="1:14" ht="15.75" x14ac:dyDescent="0.25">
      <c r="A14" s="2">
        <v>11</v>
      </c>
      <c r="B14" s="8" t="s">
        <v>21</v>
      </c>
      <c r="C14" s="2" t="s">
        <v>14</v>
      </c>
      <c r="D14" s="4">
        <f>602.186+50.888+106.628+97.895</f>
        <v>857.59700000000009</v>
      </c>
      <c r="E14" s="4">
        <f>229.013+40+20</f>
        <v>289.01300000000003</v>
      </c>
      <c r="F14" s="4">
        <f>57.273+27.864+9.403+12.948</f>
        <v>107.488</v>
      </c>
      <c r="G14" s="4">
        <f>789.822+31.159+101.476+100.086</f>
        <v>1022.543</v>
      </c>
      <c r="H14" s="4">
        <f>421.76+83.806+50.838+37.352</f>
        <v>593.75599999999997</v>
      </c>
      <c r="I14" s="4"/>
      <c r="J14" s="4"/>
      <c r="K14" s="4"/>
      <c r="L14" s="4">
        <f>79.378+18.5</f>
        <v>97.878</v>
      </c>
      <c r="M14" s="5">
        <f>40+100</f>
        <v>140</v>
      </c>
      <c r="N14" s="21"/>
    </row>
    <row r="15" spans="1:14" ht="15.75" x14ac:dyDescent="0.25">
      <c r="A15" s="2">
        <v>12</v>
      </c>
      <c r="B15" s="8" t="s">
        <v>22</v>
      </c>
      <c r="C15" s="2" t="s">
        <v>14</v>
      </c>
      <c r="D15" s="4"/>
      <c r="E15" s="4"/>
      <c r="F15" s="4">
        <f>2.25+1+1</f>
        <v>4.25</v>
      </c>
      <c r="G15" s="4">
        <v>29.23</v>
      </c>
      <c r="H15" s="4"/>
      <c r="I15" s="4">
        <v>0.45600000000000002</v>
      </c>
      <c r="J15" s="4"/>
      <c r="K15" s="4"/>
      <c r="L15" s="4"/>
      <c r="M15" s="5">
        <f>89.841+0.12+1.157</f>
        <v>91.117999999999995</v>
      </c>
      <c r="N15" s="21"/>
    </row>
    <row r="16" spans="1:14" ht="15.75" x14ac:dyDescent="0.25">
      <c r="A16" s="2">
        <v>13</v>
      </c>
      <c r="B16" s="8" t="s">
        <v>23</v>
      </c>
      <c r="C16" s="2" t="s">
        <v>14</v>
      </c>
      <c r="D16" s="4"/>
      <c r="E16" s="4"/>
      <c r="F16" s="4"/>
      <c r="G16" s="4">
        <v>2.6560000000000001</v>
      </c>
      <c r="H16" s="4"/>
      <c r="I16" s="4"/>
      <c r="J16" s="4"/>
      <c r="K16" s="4"/>
      <c r="L16" s="4"/>
      <c r="M16" s="5">
        <v>0.6100000000000001</v>
      </c>
      <c r="N16" s="21"/>
    </row>
    <row r="17" spans="1:14" ht="15.75" x14ac:dyDescent="0.25">
      <c r="A17" s="2">
        <v>14</v>
      </c>
      <c r="B17" s="8" t="s">
        <v>24</v>
      </c>
      <c r="C17" s="2" t="s">
        <v>14</v>
      </c>
      <c r="D17" s="4">
        <v>21.681999999999999</v>
      </c>
      <c r="E17" s="4">
        <f>1369+10</f>
        <v>1379</v>
      </c>
      <c r="F17" s="4">
        <f>180.81+5.327</f>
        <v>186.137</v>
      </c>
      <c r="G17" s="4">
        <f>423.928+44.844+13.322+16.678</f>
        <v>498.77199999999999</v>
      </c>
      <c r="H17" s="4">
        <f>73.4+20</f>
        <v>93.4</v>
      </c>
      <c r="I17" s="4"/>
      <c r="J17" s="4"/>
      <c r="K17" s="4"/>
      <c r="L17" s="4"/>
      <c r="M17" s="5">
        <v>3.98</v>
      </c>
      <c r="N17" s="21"/>
    </row>
    <row r="18" spans="1:14" ht="15.75" x14ac:dyDescent="0.25">
      <c r="A18" s="2">
        <v>15</v>
      </c>
      <c r="B18" s="8" t="s">
        <v>25</v>
      </c>
      <c r="C18" s="2" t="s">
        <v>14</v>
      </c>
      <c r="D18" s="4">
        <f>636.058+107.06+45.399+62.5</f>
        <v>851.01699999999994</v>
      </c>
      <c r="E18" s="4"/>
      <c r="F18" s="4">
        <f>34.706+30.003</f>
        <v>64.709000000000003</v>
      </c>
      <c r="G18" s="4"/>
      <c r="H18" s="4"/>
      <c r="I18" s="4"/>
      <c r="J18" s="4"/>
      <c r="K18" s="4"/>
      <c r="L18" s="4">
        <f>7.864+8.144</f>
        <v>16.007999999999999</v>
      </c>
      <c r="M18" s="5"/>
      <c r="N18" s="21"/>
    </row>
    <row r="19" spans="1:14" ht="15.75" x14ac:dyDescent="0.25">
      <c r="A19" s="2">
        <v>16</v>
      </c>
      <c r="B19" s="8" t="s">
        <v>26</v>
      </c>
      <c r="C19" s="2" t="s">
        <v>14</v>
      </c>
      <c r="D19" s="4">
        <f>122.387+5.204</f>
        <v>127.59099999999999</v>
      </c>
      <c r="E19" s="4"/>
      <c r="F19" s="4">
        <f>1708.744+54.968+45.606+17.156</f>
        <v>1826.4739999999999</v>
      </c>
      <c r="G19" s="4">
        <f>4435.22+28.041+0.257+3.811</f>
        <v>4467.3289999999997</v>
      </c>
      <c r="H19" s="4">
        <f>24.287+2.059</f>
        <v>26.346</v>
      </c>
      <c r="I19" s="4"/>
      <c r="J19" s="4"/>
      <c r="K19" s="4"/>
      <c r="L19" s="4">
        <v>78.304999999999993</v>
      </c>
      <c r="M19" s="5">
        <v>12.731999999999999</v>
      </c>
      <c r="N19" s="21"/>
    </row>
    <row r="20" spans="1:14" ht="15.75" x14ac:dyDescent="0.25">
      <c r="A20" s="2">
        <v>17</v>
      </c>
      <c r="B20" s="8" t="s">
        <v>27</v>
      </c>
      <c r="C20" s="2" t="s">
        <v>14</v>
      </c>
      <c r="D20" s="4">
        <f>161.4+45+21.5+39</f>
        <v>266.89999999999998</v>
      </c>
      <c r="E20" s="4"/>
      <c r="F20" s="4"/>
      <c r="G20" s="4">
        <f>30+20</f>
        <v>50</v>
      </c>
      <c r="H20" s="4">
        <v>20</v>
      </c>
      <c r="I20" s="4"/>
      <c r="J20" s="4"/>
      <c r="K20" s="4"/>
      <c r="L20" s="4"/>
      <c r="M20" s="5"/>
      <c r="N20" s="21"/>
    </row>
    <row r="21" spans="1:14" ht="15.75" x14ac:dyDescent="0.25">
      <c r="A21" s="2">
        <v>18</v>
      </c>
      <c r="B21" s="8" t="s">
        <v>28</v>
      </c>
      <c r="C21" s="2" t="s">
        <v>14</v>
      </c>
      <c r="D21" s="4">
        <f>171.565+31.387+6.802+50.973</f>
        <v>260.72699999999998</v>
      </c>
      <c r="E21" s="4"/>
      <c r="F21" s="4">
        <v>10.665000000000001</v>
      </c>
      <c r="G21" s="4">
        <f>660.04+0.8</f>
        <v>660.83999999999992</v>
      </c>
      <c r="H21" s="4">
        <v>20</v>
      </c>
      <c r="I21" s="4"/>
      <c r="J21" s="4"/>
      <c r="K21" s="4"/>
      <c r="L21" s="4">
        <v>2</v>
      </c>
      <c r="M21" s="5"/>
      <c r="N21" s="21"/>
    </row>
    <row r="22" spans="1:14" ht="15.75" x14ac:dyDescent="0.25">
      <c r="A22" s="2">
        <v>19</v>
      </c>
      <c r="B22" s="8" t="s">
        <v>29</v>
      </c>
      <c r="C22" s="2" t="s">
        <v>14</v>
      </c>
      <c r="D22" s="4">
        <v>494.47399999999999</v>
      </c>
      <c r="E22" s="4">
        <v>111</v>
      </c>
      <c r="F22" s="4"/>
      <c r="G22" s="4">
        <f>321.369+30+180+60</f>
        <v>591.36900000000003</v>
      </c>
      <c r="H22" s="4">
        <v>40</v>
      </c>
      <c r="I22" s="4"/>
      <c r="J22" s="4"/>
      <c r="K22" s="4"/>
      <c r="L22" s="4"/>
      <c r="M22" s="5">
        <f>331+23+44+112</f>
        <v>510</v>
      </c>
      <c r="N22" s="21"/>
    </row>
    <row r="23" spans="1:14" ht="15.75" x14ac:dyDescent="0.25">
      <c r="A23" s="2">
        <v>20</v>
      </c>
      <c r="B23" s="8" t="s">
        <v>30</v>
      </c>
      <c r="C23" s="2" t="s">
        <v>14</v>
      </c>
      <c r="D23" s="4">
        <f>94.532+14+15+14.198</f>
        <v>137.72999999999999</v>
      </c>
      <c r="E23" s="4"/>
      <c r="F23" s="4"/>
      <c r="G23" s="4"/>
      <c r="H23" s="4"/>
      <c r="I23" s="4"/>
      <c r="J23" s="4"/>
      <c r="K23" s="4"/>
      <c r="L23" s="4">
        <v>6.5</v>
      </c>
      <c r="M23" s="5"/>
      <c r="N23" s="21"/>
    </row>
    <row r="24" spans="1:14" ht="15.75" x14ac:dyDescent="0.25">
      <c r="A24" s="2">
        <v>21</v>
      </c>
      <c r="B24" s="8" t="s">
        <v>31</v>
      </c>
      <c r="C24" s="2" t="s">
        <v>14</v>
      </c>
      <c r="D24" s="4">
        <f>196.41+22.861+10.25</f>
        <v>229.52099999999999</v>
      </c>
      <c r="E24" s="4"/>
      <c r="F24" s="4"/>
      <c r="G24" s="4"/>
      <c r="H24" s="4"/>
      <c r="I24" s="4"/>
      <c r="J24" s="4"/>
      <c r="K24" s="4"/>
      <c r="L24" s="4"/>
      <c r="M24" s="5"/>
      <c r="N24" s="21"/>
    </row>
    <row r="25" spans="1:14" ht="15.75" x14ac:dyDescent="0.25">
      <c r="A25" s="2">
        <v>22</v>
      </c>
      <c r="B25" s="8" t="s">
        <v>104</v>
      </c>
      <c r="C25" s="2" t="s">
        <v>14</v>
      </c>
      <c r="D25" s="4"/>
      <c r="E25" s="4"/>
      <c r="F25" s="4"/>
      <c r="G25" s="4"/>
      <c r="H25" s="4"/>
      <c r="I25" s="4"/>
      <c r="J25" s="4"/>
      <c r="K25" s="4"/>
      <c r="L25" s="4">
        <v>0.8</v>
      </c>
      <c r="M25" s="5"/>
      <c r="N25" s="21"/>
    </row>
    <row r="26" spans="1:14" ht="15.75" x14ac:dyDescent="0.25">
      <c r="A26" s="2">
        <v>23</v>
      </c>
      <c r="B26" s="22" t="s">
        <v>105</v>
      </c>
      <c r="C26" s="6" t="s">
        <v>14</v>
      </c>
      <c r="D26" s="7"/>
      <c r="E26" s="7"/>
      <c r="F26" s="7"/>
      <c r="G26" s="7"/>
      <c r="H26" s="7"/>
      <c r="I26" s="7"/>
      <c r="J26" s="7"/>
      <c r="K26" s="7"/>
      <c r="L26" s="7">
        <v>6</v>
      </c>
      <c r="M26" s="7"/>
      <c r="N26" s="7"/>
    </row>
    <row r="27" spans="1:14" ht="15.75" x14ac:dyDescent="0.25">
      <c r="A27" s="2">
        <v>24</v>
      </c>
      <c r="B27" s="2" t="s">
        <v>32</v>
      </c>
      <c r="C27" s="2" t="s">
        <v>14</v>
      </c>
      <c r="D27" s="4">
        <f>18.4+19.384+19.985+49.676+60.023+85.374+19.985</f>
        <v>272.827</v>
      </c>
      <c r="E27" s="4"/>
      <c r="F27" s="4">
        <f>19.055+13.725+19.052+19.052+28.2</f>
        <v>99.084000000000003</v>
      </c>
      <c r="G27" s="5">
        <f>12.008+60.048+20.04+31.164+0.72</f>
        <v>123.98</v>
      </c>
      <c r="H27" s="5"/>
      <c r="I27" s="5"/>
      <c r="J27" s="5"/>
      <c r="K27" s="5"/>
      <c r="L27" s="5"/>
      <c r="M27" s="5"/>
      <c r="N27" s="20"/>
    </row>
    <row r="28" spans="1:14" ht="15.75" x14ac:dyDescent="0.25">
      <c r="A28" s="2">
        <v>25</v>
      </c>
      <c r="B28" s="2" t="s">
        <v>33</v>
      </c>
      <c r="C28" s="2" t="s">
        <v>14</v>
      </c>
      <c r="D28" s="4">
        <f>19.612+20.78+63.479+59.446+47.303+38.578+82.852+50.278+28.511+56.275+53.582+88.819</f>
        <v>609.51499999999999</v>
      </c>
      <c r="E28" s="4"/>
      <c r="F28" s="4">
        <f>14.011+11.951+15.891+18.41+14.951+18.478+24.263</f>
        <v>117.95500000000001</v>
      </c>
      <c r="G28" s="5"/>
      <c r="H28" s="5">
        <v>2.5379999999999998</v>
      </c>
      <c r="I28" s="5"/>
      <c r="J28" s="5"/>
      <c r="K28" s="5"/>
      <c r="L28" s="5"/>
      <c r="M28" s="5"/>
      <c r="N28" s="20"/>
    </row>
    <row r="29" spans="1:14" ht="15.75" x14ac:dyDescent="0.25">
      <c r="A29" s="2">
        <v>26</v>
      </c>
      <c r="B29" s="2" t="s">
        <v>34</v>
      </c>
      <c r="C29" s="2" t="s">
        <v>14</v>
      </c>
      <c r="D29" s="4">
        <f>4.9+28.768+42.736+29.092+39.371+51.618+18.08+41.964+59.074+42.716+38.137+85.917</f>
        <v>482.37300000000005</v>
      </c>
      <c r="E29" s="4">
        <f>29.62+61.26+62.217+100.461+45.946+48.36+64.86+48.72+0.117</f>
        <v>461.56100000000009</v>
      </c>
      <c r="F29" s="4">
        <f>0.24+3.2+0.28+0.8+1.509+0.304+0.9</f>
        <v>7.2330000000000005</v>
      </c>
      <c r="G29" s="5">
        <f>35.912+23.1+36.693+42.192+47.236+34.044+49.431+66.54+80.297+71.45+64.452+89.792</f>
        <v>641.13900000000001</v>
      </c>
      <c r="H29" s="5">
        <f>0.207+15.604+0.412</f>
        <v>16.222999999999999</v>
      </c>
      <c r="I29" s="23">
        <v>4.9000000000000002E-2</v>
      </c>
      <c r="J29" s="5"/>
      <c r="K29" s="5"/>
      <c r="L29" s="5"/>
      <c r="M29" s="5">
        <v>0.54600000000000004</v>
      </c>
      <c r="N29" s="20"/>
    </row>
    <row r="30" spans="1:14" ht="15.75" x14ac:dyDescent="0.25">
      <c r="A30" s="2">
        <v>27</v>
      </c>
      <c r="B30" s="2" t="s">
        <v>35</v>
      </c>
      <c r="C30" s="2" t="s">
        <v>14</v>
      </c>
      <c r="D30" s="4">
        <f>19.5+310.858+818.036+840.1534+505.039+68.82751+469.868+459.942+201.578145+579.753175+654.79311+885.653+810.479+606.371</f>
        <v>7230.8513400000002</v>
      </c>
      <c r="E30" s="4">
        <f>316.039+250.173+117.814+365.844+66.791+68.04+213.205+114.992+184.256+295.404+81.109+91.685</f>
        <v>2165.3519999999999</v>
      </c>
      <c r="F30" s="4">
        <f>2.5+21.023+5+5+2.5+11+2.5+0.68+0.68</f>
        <v>50.882999999999996</v>
      </c>
      <c r="G30" s="5">
        <f>4.773+1.02+2.268+9.489+2.33+3.415+8.342+6.888+10.457+11.82+10.65+24.772+21.73</f>
        <v>117.95399999999999</v>
      </c>
      <c r="H30" s="5">
        <f>4.659+30.465+0.024+16.762+2.295+4.464+5.545+13+15.869+16.448+27.1+16.943</f>
        <v>153.57400000000001</v>
      </c>
      <c r="I30" s="5">
        <v>3.24</v>
      </c>
      <c r="J30" s="5"/>
      <c r="K30" s="5"/>
      <c r="L30" s="24">
        <f>398.887+184.785+114.954+112.163+91.424+55.189+70.033+138.169+209.037</f>
        <v>1374.6410000000001</v>
      </c>
      <c r="M30" s="5">
        <v>4.5</v>
      </c>
      <c r="N30" s="20"/>
    </row>
    <row r="31" spans="1:14" ht="15.75" x14ac:dyDescent="0.25">
      <c r="A31" s="2">
        <v>28</v>
      </c>
      <c r="B31" s="2" t="s">
        <v>36</v>
      </c>
      <c r="C31" s="2" t="s">
        <v>14</v>
      </c>
      <c r="D31" s="4">
        <f>88.094+60.363+121.257+104.762+47.139+104.983+3.294+103.799+31.085+41.02+108.482+71.508</f>
        <v>885.78599999999994</v>
      </c>
      <c r="E31" s="4"/>
      <c r="F31" s="4">
        <f>11.352+18.048+0.712</f>
        <v>30.111999999999998</v>
      </c>
      <c r="G31" s="5"/>
      <c r="H31" s="5">
        <f>2.18+6.706</f>
        <v>8.886000000000001</v>
      </c>
      <c r="I31" s="5"/>
      <c r="J31" s="5"/>
      <c r="K31" s="5"/>
      <c r="L31" s="5">
        <f>20.992+16.1+17.196</f>
        <v>54.287999999999997</v>
      </c>
      <c r="M31" s="5"/>
      <c r="N31" s="20"/>
    </row>
    <row r="32" spans="1:14" ht="15.75" x14ac:dyDescent="0.25">
      <c r="A32" s="2">
        <v>29</v>
      </c>
      <c r="B32" s="2" t="s">
        <v>37</v>
      </c>
      <c r="C32" s="2" t="s">
        <v>38</v>
      </c>
      <c r="D32" s="3">
        <f>604800+302400+1195200+878400+2044800+894600+604800+3819600+3607200+907200+604800</f>
        <v>15463800</v>
      </c>
      <c r="E32" s="3"/>
      <c r="F32" s="3">
        <f>3024000+2340360+1160400+1279800+1191600+558000+3387600+1180800+981000+302400</f>
        <v>15405960</v>
      </c>
      <c r="G32" s="9">
        <f>10000+46600+180000+190800</f>
        <v>427400</v>
      </c>
      <c r="H32" s="9">
        <f>302400+744000+2721600+907200</f>
        <v>4675200</v>
      </c>
      <c r="I32" s="9"/>
      <c r="J32" s="9"/>
      <c r="K32" s="9"/>
      <c r="L32" s="9">
        <f>2054520+255600</f>
        <v>2310120</v>
      </c>
      <c r="M32" s="9"/>
      <c r="N32" s="25"/>
    </row>
    <row r="33" spans="1:14" ht="15.75" x14ac:dyDescent="0.25">
      <c r="A33" s="2">
        <v>30</v>
      </c>
      <c r="B33" s="2" t="s">
        <v>106</v>
      </c>
      <c r="C33" s="2" t="s">
        <v>38</v>
      </c>
      <c r="D33" s="3">
        <v>72000</v>
      </c>
      <c r="E33" s="3"/>
      <c r="F33" s="3"/>
      <c r="G33" s="9"/>
      <c r="H33" s="9"/>
      <c r="I33" s="9"/>
      <c r="J33" s="9"/>
      <c r="K33" s="9"/>
      <c r="L33" s="9">
        <f>2098920+900720+897720+1216440+1130040+727920+1134000</f>
        <v>8105760</v>
      </c>
      <c r="M33" s="9"/>
      <c r="N33" s="25"/>
    </row>
    <row r="34" spans="1:14" ht="15.75" x14ac:dyDescent="0.25">
      <c r="A34" s="2">
        <v>31</v>
      </c>
      <c r="B34" s="2" t="s">
        <v>39</v>
      </c>
      <c r="C34" s="2" t="s">
        <v>38</v>
      </c>
      <c r="D34" s="3"/>
      <c r="E34" s="3"/>
      <c r="F34" s="3">
        <f>2800+1000+1000</f>
        <v>4800</v>
      </c>
      <c r="G34" s="9">
        <v>1500</v>
      </c>
      <c r="H34" s="9"/>
      <c r="I34" s="9"/>
      <c r="J34" s="9"/>
      <c r="K34" s="9"/>
      <c r="L34" s="9"/>
      <c r="M34" s="9">
        <f>1730+2800+4400+1970+4600+1000+950+3000+1900+1232+3200</f>
        <v>26782</v>
      </c>
      <c r="N34" s="25"/>
    </row>
    <row r="35" spans="1:14" ht="15.75" x14ac:dyDescent="0.25">
      <c r="A35" s="2">
        <v>32</v>
      </c>
      <c r="B35" s="2" t="s">
        <v>107</v>
      </c>
      <c r="C35" s="2" t="s">
        <v>14</v>
      </c>
      <c r="D35" s="5"/>
      <c r="E35" s="5"/>
      <c r="F35" s="5"/>
      <c r="G35" s="5"/>
      <c r="H35" s="5"/>
      <c r="I35" s="5"/>
      <c r="J35" s="5"/>
      <c r="K35" s="5"/>
      <c r="L35" s="5"/>
      <c r="M35" s="5">
        <f>254.12+64.48+42.47+192.66+2430.27+267.99</f>
        <v>3251.99</v>
      </c>
      <c r="N35" s="21"/>
    </row>
    <row r="36" spans="1:14" ht="15.75" x14ac:dyDescent="0.25">
      <c r="A36" s="2">
        <v>33</v>
      </c>
      <c r="B36" s="2" t="s">
        <v>107</v>
      </c>
      <c r="C36" s="2" t="s">
        <v>38</v>
      </c>
      <c r="D36" s="9"/>
      <c r="E36" s="9"/>
      <c r="F36" s="9"/>
      <c r="G36" s="9"/>
      <c r="H36" s="9"/>
      <c r="I36" s="9"/>
      <c r="J36" s="9"/>
      <c r="K36" s="9"/>
      <c r="L36" s="9"/>
      <c r="M36" s="9">
        <f>21396+8916+4880+2000+13000+12540+6040+6040</f>
        <v>74812</v>
      </c>
      <c r="N36" s="26"/>
    </row>
    <row r="37" spans="1:14" ht="15.75" x14ac:dyDescent="0.25">
      <c r="A37" s="2">
        <v>34</v>
      </c>
      <c r="B37" s="2" t="s">
        <v>40</v>
      </c>
      <c r="C37" s="2" t="s">
        <v>14</v>
      </c>
      <c r="D37" s="5"/>
      <c r="E37" s="5"/>
      <c r="F37" s="5"/>
      <c r="G37" s="5">
        <v>128</v>
      </c>
      <c r="H37" s="5"/>
      <c r="I37" s="5">
        <f>148.843+20.672+192+128+20.881+83.71+105+167+240+244.007+64+20</f>
        <v>1434.1130000000001</v>
      </c>
      <c r="J37" s="5"/>
      <c r="K37" s="5"/>
      <c r="L37" s="5"/>
      <c r="M37" s="5">
        <f>154+286+242+22+22+396+407.02+569.75+266.6+132+51.9+175.69+159.9</f>
        <v>2884.86</v>
      </c>
      <c r="N37" s="21"/>
    </row>
    <row r="38" spans="1:14" ht="15.75" x14ac:dyDescent="0.25">
      <c r="A38" s="2">
        <v>35</v>
      </c>
      <c r="B38" s="2" t="s">
        <v>41</v>
      </c>
      <c r="C38" s="2" t="s">
        <v>38</v>
      </c>
      <c r="D38" s="9">
        <v>1200</v>
      </c>
      <c r="E38" s="9"/>
      <c r="F38" s="9">
        <f>8700+2400+1500+1900</f>
        <v>14500</v>
      </c>
      <c r="G38" s="9"/>
      <c r="H38" s="9"/>
      <c r="I38" s="9"/>
      <c r="J38" s="9"/>
      <c r="K38" s="9"/>
      <c r="L38" s="9"/>
      <c r="M38" s="9"/>
      <c r="N38" s="26"/>
    </row>
    <row r="39" spans="1:14" ht="15.75" x14ac:dyDescent="0.25">
      <c r="A39" s="2">
        <v>36</v>
      </c>
      <c r="B39" s="2" t="s">
        <v>42</v>
      </c>
      <c r="C39" s="2" t="s">
        <v>14</v>
      </c>
      <c r="D39" s="5">
        <v>20.009</v>
      </c>
      <c r="E39" s="5"/>
      <c r="F39" s="5">
        <f>5+40</f>
        <v>45</v>
      </c>
      <c r="G39" s="5">
        <f>7+25+9+26</f>
        <v>67</v>
      </c>
      <c r="H39" s="5"/>
      <c r="I39" s="5"/>
      <c r="J39" s="5"/>
      <c r="K39" s="5"/>
      <c r="L39" s="5">
        <f>26.347+13.803+42.38</f>
        <v>82.53</v>
      </c>
      <c r="M39" s="5">
        <f>43.5+34+0.1+3+264.914+0.15+71.7+48.291+20.11+100.737+22.876+55.942</f>
        <v>665.31999999999994</v>
      </c>
      <c r="N39" s="21"/>
    </row>
    <row r="40" spans="1:14" ht="15.75" x14ac:dyDescent="0.25">
      <c r="A40" s="2">
        <v>37</v>
      </c>
      <c r="B40" s="2" t="s">
        <v>43</v>
      </c>
      <c r="C40" s="2" t="s">
        <v>14</v>
      </c>
      <c r="D40" s="5">
        <f>42.345+29+95.905+109.32+61.86+121.975+90.356+0.322+127.535+175.748+44.535</f>
        <v>898.90099999999995</v>
      </c>
      <c r="E40" s="5"/>
      <c r="F40" s="5">
        <f>29.1+22+22.1+49+50+44+22+66</f>
        <v>304.2</v>
      </c>
      <c r="G40" s="5">
        <f>35.5+22.5+0.85+77.5+32.5+45+45+22.5+22.5+22.5+110.175</f>
        <v>436.52500000000003</v>
      </c>
      <c r="H40" s="5"/>
      <c r="I40" s="5"/>
      <c r="J40" s="5"/>
      <c r="K40" s="5"/>
      <c r="L40" s="5">
        <f>75.6+22+22+44</f>
        <v>163.6</v>
      </c>
      <c r="M40" s="5">
        <v>40.655999999999999</v>
      </c>
      <c r="N40" s="21"/>
    </row>
    <row r="41" spans="1:14" ht="15.75" x14ac:dyDescent="0.25">
      <c r="A41" s="2">
        <v>38</v>
      </c>
      <c r="B41" s="2" t="s">
        <v>44</v>
      </c>
      <c r="C41" s="2" t="s">
        <v>14</v>
      </c>
      <c r="D41" s="5">
        <f>20+50.85+22+44+22+22+23.5</f>
        <v>204.35</v>
      </c>
      <c r="E41" s="5"/>
      <c r="F41" s="5"/>
      <c r="G41" s="5"/>
      <c r="H41" s="5"/>
      <c r="I41" s="5"/>
      <c r="J41" s="5"/>
      <c r="K41" s="5"/>
      <c r="L41" s="5"/>
      <c r="M41" s="5"/>
      <c r="N41" s="21"/>
    </row>
    <row r="42" spans="1:14" ht="15.75" x14ac:dyDescent="0.25">
      <c r="A42" s="2">
        <v>39</v>
      </c>
      <c r="B42" s="2" t="s">
        <v>45</v>
      </c>
      <c r="C42" s="2" t="s">
        <v>14</v>
      </c>
      <c r="D42" s="5">
        <f>22+22+24+34+3.25+51+60.95+16+20+43+22.24</f>
        <v>318.44</v>
      </c>
      <c r="E42" s="5">
        <f>0.5+1.5</f>
        <v>2</v>
      </c>
      <c r="F42" s="5">
        <v>20</v>
      </c>
      <c r="G42" s="5"/>
      <c r="H42" s="5"/>
      <c r="I42" s="5"/>
      <c r="J42" s="5"/>
      <c r="K42" s="5"/>
      <c r="L42" s="5"/>
      <c r="M42" s="5"/>
      <c r="N42" s="21"/>
    </row>
    <row r="43" spans="1:14" ht="15.75" x14ac:dyDescent="0.25">
      <c r="A43" s="2">
        <v>40</v>
      </c>
      <c r="B43" s="2" t="s">
        <v>46</v>
      </c>
      <c r="C43" s="2" t="s">
        <v>14</v>
      </c>
      <c r="D43" s="5">
        <f>62.03+50.52+65.4+66.5+20+5+66.5+89.47+349.885+174.5+72.2+181.01</f>
        <v>1203.0150000000001</v>
      </c>
      <c r="E43" s="5"/>
      <c r="F43" s="5">
        <f>44+130.87</f>
        <v>174.87</v>
      </c>
      <c r="G43" s="5">
        <v>4</v>
      </c>
      <c r="H43" s="5">
        <f>66+66.9+60+66</f>
        <v>258.89999999999998</v>
      </c>
      <c r="I43" s="5"/>
      <c r="J43" s="5"/>
      <c r="K43" s="5"/>
      <c r="L43" s="5">
        <f>53.2+24.2+46.68+44+0.5+44.5+74.673+65+84+201+53.5+53+22</f>
        <v>766.25300000000004</v>
      </c>
      <c r="M43" s="5"/>
      <c r="N43" s="21"/>
    </row>
    <row r="44" spans="1:14" ht="15.75" x14ac:dyDescent="0.25">
      <c r="A44" s="2">
        <v>41</v>
      </c>
      <c r="B44" s="2" t="s">
        <v>47</v>
      </c>
      <c r="C44" s="2" t="s">
        <v>14</v>
      </c>
      <c r="D44" s="5">
        <f>2212.24+85.612+7330.71+2077.84+4097.414+4526.245+1958.1+2564.73+209.112+1307.85+2281.085+2148.86+1133.84</f>
        <v>31933.637999999995</v>
      </c>
      <c r="E44" s="5"/>
      <c r="F44" s="5">
        <f>427.4+607.05+266.75+668.5+424.75+130.83+201.96+267.05+444.95+540.2+1291.28+1698.22</f>
        <v>6968.94</v>
      </c>
      <c r="G44" s="5">
        <f>22.5+38.351</f>
        <v>60.850999999999999</v>
      </c>
      <c r="H44" s="5">
        <v>65</v>
      </c>
      <c r="I44" s="5"/>
      <c r="J44" s="5"/>
      <c r="K44" s="5"/>
      <c r="L44" s="5">
        <f>42.295+12.36</f>
        <v>54.655000000000001</v>
      </c>
      <c r="M44" s="5"/>
      <c r="N44" s="21"/>
    </row>
    <row r="45" spans="1:14" ht="15.75" x14ac:dyDescent="0.25">
      <c r="A45" s="2">
        <v>42</v>
      </c>
      <c r="B45" s="2" t="s">
        <v>48</v>
      </c>
      <c r="C45" s="2" t="s">
        <v>14</v>
      </c>
      <c r="D45" s="5">
        <f>178.664+196.457+80.531+265.976+236.316+297.97+182.881+191.538+271.875+262.927+288.923+547.257</f>
        <v>3001.3150000000001</v>
      </c>
      <c r="E45" s="5"/>
      <c r="F45" s="5"/>
      <c r="G45" s="5">
        <v>4.2220000000000004</v>
      </c>
      <c r="H45" s="5">
        <v>4</v>
      </c>
      <c r="I45" s="5"/>
      <c r="J45" s="5"/>
      <c r="K45" s="5"/>
      <c r="L45" s="5">
        <f>75.188+2.15+17.136+40.491+39.126+74.901+68.533+17.625+69.645</f>
        <v>404.79500000000002</v>
      </c>
      <c r="M45" s="5">
        <f>54.748+90.867</f>
        <v>145.61500000000001</v>
      </c>
      <c r="N45" s="21"/>
    </row>
    <row r="46" spans="1:14" ht="15.75" x14ac:dyDescent="0.25">
      <c r="A46" s="2">
        <v>43</v>
      </c>
      <c r="B46" s="2" t="s">
        <v>49</v>
      </c>
      <c r="C46" s="2" t="s">
        <v>14</v>
      </c>
      <c r="D46" s="5">
        <f>40.548+0.015+204.348+227.085+305.695+342.751+91+40+122+140.07</f>
        <v>1513.5119999999999</v>
      </c>
      <c r="E46" s="5">
        <f>40+20+21.6+41+67.5+60.7+23</f>
        <v>273.8</v>
      </c>
      <c r="F46" s="5">
        <f>40+20+40+21</f>
        <v>121</v>
      </c>
      <c r="G46" s="5">
        <f>84.416+21.145+20.8+3.575+65.175</f>
        <v>195.11099999999999</v>
      </c>
      <c r="H46" s="5">
        <f>20+60+40+20</f>
        <v>140</v>
      </c>
      <c r="I46" s="5"/>
      <c r="J46" s="5"/>
      <c r="K46" s="5"/>
      <c r="L46" s="24">
        <f>660.365+369.5+616.435+567.975+28+424.56+28+903.2+586.875+494.225+424.232</f>
        <v>5103.3670000000002</v>
      </c>
      <c r="M46" s="5">
        <v>20.8</v>
      </c>
      <c r="N46" s="21"/>
    </row>
    <row r="47" spans="1:14" ht="15.75" x14ac:dyDescent="0.25">
      <c r="A47" s="2">
        <v>44</v>
      </c>
      <c r="B47" s="2" t="s">
        <v>50</v>
      </c>
      <c r="C47" s="2" t="s">
        <v>14</v>
      </c>
      <c r="D47" s="5">
        <v>19.5</v>
      </c>
      <c r="E47" s="5">
        <f>2.7+2.756+1</f>
        <v>6.4559999999999995</v>
      </c>
      <c r="F47" s="5">
        <f>1.982+1.25+1.598</f>
        <v>4.83</v>
      </c>
      <c r="G47" s="5">
        <f>0.9+2.016+3.462</f>
        <v>6.3780000000000001</v>
      </c>
      <c r="H47" s="5"/>
      <c r="I47" s="5"/>
      <c r="J47" s="5"/>
      <c r="K47" s="5"/>
      <c r="L47" s="5">
        <f>20.5+43.863+38.527+22.456+21.4+45.485</f>
        <v>192.23099999999999</v>
      </c>
      <c r="M47" s="5"/>
      <c r="N47" s="21"/>
    </row>
    <row r="48" spans="1:14" ht="15.75" x14ac:dyDescent="0.25">
      <c r="A48" s="2">
        <v>45</v>
      </c>
      <c r="B48" s="2" t="s">
        <v>108</v>
      </c>
      <c r="C48" s="2" t="s">
        <v>10</v>
      </c>
      <c r="D48" s="3"/>
      <c r="E48" s="3"/>
      <c r="F48" s="3"/>
      <c r="G48" s="3"/>
      <c r="H48" s="3"/>
      <c r="I48" s="3"/>
      <c r="J48" s="3"/>
      <c r="K48" s="3"/>
      <c r="L48" s="27"/>
      <c r="M48" s="28">
        <f>2000+1000</f>
        <v>3000</v>
      </c>
      <c r="N48" s="26"/>
    </row>
    <row r="49" spans="1:14" ht="15.75" x14ac:dyDescent="0.25">
      <c r="A49" s="2">
        <v>46</v>
      </c>
      <c r="B49" s="2" t="s">
        <v>51</v>
      </c>
      <c r="C49" s="2" t="s">
        <v>14</v>
      </c>
      <c r="D49" s="4"/>
      <c r="E49" s="4"/>
      <c r="F49" s="4">
        <f>79.54+21+80+80+119</f>
        <v>379.54</v>
      </c>
      <c r="G49" s="4">
        <v>42</v>
      </c>
      <c r="H49" s="4"/>
      <c r="I49" s="4"/>
      <c r="J49" s="4"/>
      <c r="K49" s="4"/>
      <c r="L49" s="4">
        <f>63+102+168+63+147+21+126+60+231+42+21</f>
        <v>1044</v>
      </c>
      <c r="M49" s="5">
        <f>96+48+216+192+144+21+144+408+48</f>
        <v>1317</v>
      </c>
      <c r="N49" s="21"/>
    </row>
    <row r="50" spans="1:14" ht="15.75" x14ac:dyDescent="0.25">
      <c r="A50" s="2">
        <v>47</v>
      </c>
      <c r="B50" s="2" t="s">
        <v>52</v>
      </c>
      <c r="C50" s="2" t="s">
        <v>10</v>
      </c>
      <c r="D50" s="3">
        <f>26+1+2+1+1+66</f>
        <v>97</v>
      </c>
      <c r="E50" s="3">
        <f>2+12+9+4+5+5+7+9+5</f>
        <v>58</v>
      </c>
      <c r="F50" s="3">
        <f>4+5+3+2+3+1</f>
        <v>18</v>
      </c>
      <c r="G50" s="3">
        <f>6+3+9+3+1+2+3+1+13</f>
        <v>41</v>
      </c>
      <c r="H50" s="3">
        <f>1+4</f>
        <v>5</v>
      </c>
      <c r="I50" s="3"/>
      <c r="J50" s="3"/>
      <c r="K50" s="3"/>
      <c r="L50" s="3">
        <v>1</v>
      </c>
      <c r="M50" s="9">
        <f>3+17+6+1+5+7+3+2+1+1</f>
        <v>46</v>
      </c>
      <c r="N50" s="26"/>
    </row>
    <row r="51" spans="1:14" ht="15.75" x14ac:dyDescent="0.25">
      <c r="A51" s="2">
        <v>48</v>
      </c>
      <c r="B51" s="2" t="s">
        <v>53</v>
      </c>
      <c r="C51" s="2" t="s">
        <v>10</v>
      </c>
      <c r="D51" s="3">
        <v>1</v>
      </c>
      <c r="E51" s="3">
        <f>3+5+6+6+5+5+6+7</f>
        <v>43</v>
      </c>
      <c r="F51" s="3">
        <f>1+1+1+1</f>
        <v>4</v>
      </c>
      <c r="G51" s="3">
        <f>1+3+1+1+2</f>
        <v>8</v>
      </c>
      <c r="H51" s="3"/>
      <c r="I51" s="3">
        <v>1</v>
      </c>
      <c r="J51" s="3"/>
      <c r="K51" s="3"/>
      <c r="L51" s="3"/>
      <c r="M51" s="9">
        <f>3+1+2+1+4+3+2</f>
        <v>16</v>
      </c>
      <c r="N51" s="26"/>
    </row>
    <row r="52" spans="1:14" ht="15.75" x14ac:dyDescent="0.25">
      <c r="A52" s="2">
        <v>49</v>
      </c>
      <c r="B52" s="2" t="s">
        <v>54</v>
      </c>
      <c r="C52" s="2" t="s">
        <v>10</v>
      </c>
      <c r="D52" s="3">
        <f>300+400+1435+234+15+1+500</f>
        <v>2885</v>
      </c>
      <c r="E52" s="3">
        <f>26+731+4747+3858+1183+2138+727+3328+2785+20+2347+60+3713+5304+2+40</f>
        <v>31009</v>
      </c>
      <c r="F52" s="3"/>
      <c r="G52" s="3">
        <f>58+3</f>
        <v>61</v>
      </c>
      <c r="H52" s="3"/>
      <c r="I52" s="3"/>
      <c r="J52" s="3"/>
      <c r="K52" s="3"/>
      <c r="L52" s="3">
        <f>23310+7797+22424</f>
        <v>53531</v>
      </c>
      <c r="M52" s="9">
        <f>6500+11616</f>
        <v>18116</v>
      </c>
      <c r="N52" s="26"/>
    </row>
    <row r="53" spans="1:14" ht="15.75" x14ac:dyDescent="0.25">
      <c r="A53" s="2">
        <v>50</v>
      </c>
      <c r="B53" s="2" t="s">
        <v>55</v>
      </c>
      <c r="C53" s="2" t="s">
        <v>14</v>
      </c>
      <c r="D53" s="4">
        <f>0.3+0.5+0.84+1.061</f>
        <v>2.7010000000000001</v>
      </c>
      <c r="E53" s="4">
        <f>1.518+1.325+0.15+3.285+4.403+0.295+1.48</f>
        <v>12.456000000000001</v>
      </c>
      <c r="F53" s="4">
        <v>44</v>
      </c>
      <c r="G53" s="4">
        <f>0.166+0.807+1.764+0.35</f>
        <v>3.0870000000000002</v>
      </c>
      <c r="H53" s="4">
        <v>0.5</v>
      </c>
      <c r="I53" s="29">
        <v>1.9E-2</v>
      </c>
      <c r="J53" s="4"/>
      <c r="K53" s="4"/>
      <c r="L53" s="10">
        <v>0.19800000000000001</v>
      </c>
      <c r="M53" s="4">
        <f>81.312+13.618+12.951+24.724+4.294+6.298+61.394+121.095+149.129+49.689</f>
        <v>524.50400000000002</v>
      </c>
      <c r="N53" s="21"/>
    </row>
    <row r="54" spans="1:14" ht="15.75" x14ac:dyDescent="0.25">
      <c r="A54" s="2">
        <v>51</v>
      </c>
      <c r="B54" s="2" t="s">
        <v>109</v>
      </c>
      <c r="C54" s="2" t="s">
        <v>10</v>
      </c>
      <c r="D54" s="3"/>
      <c r="E54" s="3"/>
      <c r="F54" s="3"/>
      <c r="G54" s="3"/>
      <c r="H54" s="3"/>
      <c r="I54" s="3"/>
      <c r="J54" s="3"/>
      <c r="K54" s="3"/>
      <c r="L54" s="3"/>
      <c r="M54" s="9">
        <f>1904+1000</f>
        <v>2904</v>
      </c>
      <c r="N54" s="26"/>
    </row>
    <row r="55" spans="1:14" ht="15.75" x14ac:dyDescent="0.25">
      <c r="A55" s="2">
        <v>52</v>
      </c>
      <c r="B55" s="2" t="s">
        <v>56</v>
      </c>
      <c r="C55" s="2" t="s">
        <v>14</v>
      </c>
      <c r="D55" s="4">
        <f>6018.4+1739.45+4809.55+6930.89+14808.95+2443.758+1046.4+828.25+490</f>
        <v>39115.648000000008</v>
      </c>
      <c r="E55" s="4"/>
      <c r="F55" s="4">
        <f>7462.7+2340.293+201+40+42+1092+47+543.7+20</f>
        <v>11788.693000000001</v>
      </c>
      <c r="G55" s="4"/>
      <c r="H55" s="4"/>
      <c r="I55" s="4"/>
      <c r="J55" s="4"/>
      <c r="K55" s="4"/>
      <c r="L55" s="4"/>
      <c r="M55" s="5">
        <f>80.8+1509.585+3476.37</f>
        <v>5066.7550000000001</v>
      </c>
      <c r="N55" s="21"/>
    </row>
    <row r="56" spans="1:14" ht="15.75" x14ac:dyDescent="0.25">
      <c r="A56" s="2">
        <v>53</v>
      </c>
      <c r="B56" s="2" t="s">
        <v>57</v>
      </c>
      <c r="C56" s="2" t="s">
        <v>14</v>
      </c>
      <c r="D56" s="4">
        <f>1.696+0.036+9.246+0.127+0.193+12.84+0.302</f>
        <v>24.439999999999998</v>
      </c>
      <c r="E56" s="4"/>
      <c r="F56" s="4">
        <f>1.396+1.396</f>
        <v>2.7919999999999998</v>
      </c>
      <c r="G56" s="4"/>
      <c r="H56" s="4"/>
      <c r="I56" s="4"/>
      <c r="J56" s="4"/>
      <c r="K56" s="4"/>
      <c r="L56" s="30">
        <f>96.2389+8.797+27.5355</f>
        <v>132.57139999999998</v>
      </c>
      <c r="M56" s="5">
        <v>1.111</v>
      </c>
      <c r="N56" s="21"/>
    </row>
    <row r="57" spans="1:14" ht="15.75" x14ac:dyDescent="0.25">
      <c r="A57" s="2">
        <v>54</v>
      </c>
      <c r="B57" s="2" t="s">
        <v>58</v>
      </c>
      <c r="C57" s="2" t="s">
        <v>38</v>
      </c>
      <c r="D57" s="3"/>
      <c r="E57" s="3">
        <f>11+2</f>
        <v>13</v>
      </c>
      <c r="F57" s="3"/>
      <c r="G57" s="3"/>
      <c r="H57" s="3"/>
      <c r="I57" s="3"/>
      <c r="J57" s="3"/>
      <c r="K57" s="3"/>
      <c r="L57" s="3"/>
      <c r="M57" s="9">
        <f>5+33+13+48+18+16+17+14+7+6+8+20</f>
        <v>205</v>
      </c>
      <c r="N57" s="26"/>
    </row>
    <row r="58" spans="1:14" ht="15.75" x14ac:dyDescent="0.25">
      <c r="A58" s="2">
        <v>55</v>
      </c>
      <c r="B58" s="2" t="s">
        <v>110</v>
      </c>
      <c r="C58" s="2" t="s">
        <v>14</v>
      </c>
      <c r="D58" s="4"/>
      <c r="E58" s="4"/>
      <c r="F58" s="4"/>
      <c r="G58" s="4"/>
      <c r="H58" s="4"/>
      <c r="I58" s="4"/>
      <c r="J58" s="4"/>
      <c r="K58" s="4"/>
      <c r="L58" s="4">
        <f>21.95+21.628</f>
        <v>43.578000000000003</v>
      </c>
      <c r="M58" s="5">
        <f>35.36+5.682+5.186+23.932+0.557+0.87+0.94</f>
        <v>72.527000000000001</v>
      </c>
      <c r="N58" s="21"/>
    </row>
    <row r="59" spans="1:14" ht="15.75" x14ac:dyDescent="0.25">
      <c r="A59" s="2">
        <v>56</v>
      </c>
      <c r="B59" s="2" t="s">
        <v>111</v>
      </c>
      <c r="C59" s="2" t="s">
        <v>38</v>
      </c>
      <c r="D59" s="3"/>
      <c r="E59" s="3">
        <f>6400+25000</f>
        <v>31400</v>
      </c>
      <c r="F59" s="3"/>
      <c r="G59" s="3"/>
      <c r="H59" s="3"/>
      <c r="I59" s="3"/>
      <c r="J59" s="3"/>
      <c r="K59" s="3"/>
      <c r="L59" s="3">
        <f>2695000+5050000+5492890+3285000+2070000+694000+1781500+4200000+2815000+5020000+8551400+5889000</f>
        <v>47543790</v>
      </c>
      <c r="M59" s="9"/>
      <c r="N59" s="26"/>
    </row>
    <row r="60" spans="1:14" ht="15.75" x14ac:dyDescent="0.25">
      <c r="A60" s="2">
        <v>57</v>
      </c>
      <c r="B60" s="2" t="s">
        <v>59</v>
      </c>
      <c r="C60" s="2" t="s">
        <v>14</v>
      </c>
      <c r="D60" s="4">
        <f>21+21.595+0.4</f>
        <v>42.994999999999997</v>
      </c>
      <c r="E60" s="4">
        <v>16.5</v>
      </c>
      <c r="F60" s="4">
        <f>0.8+4.09+10.679+20.845+32.599+30.958</f>
        <v>99.971000000000004</v>
      </c>
      <c r="G60" s="4"/>
      <c r="H60" s="4"/>
      <c r="I60" s="4">
        <v>63</v>
      </c>
      <c r="J60" s="4"/>
      <c r="K60" s="4"/>
      <c r="L60" s="4">
        <v>63</v>
      </c>
      <c r="M60" s="5">
        <f>261.05+28.9+2.6</f>
        <v>292.55</v>
      </c>
      <c r="N60" s="21"/>
    </row>
    <row r="61" spans="1:14" ht="15.75" x14ac:dyDescent="0.25">
      <c r="A61" s="2">
        <v>58</v>
      </c>
      <c r="B61" s="2" t="s">
        <v>60</v>
      </c>
      <c r="C61" s="2" t="s">
        <v>14</v>
      </c>
      <c r="D61" s="4">
        <v>19.902000000000001</v>
      </c>
      <c r="E61" s="4"/>
      <c r="F61" s="4">
        <f>39.99+18.123+19.228</f>
        <v>77.341000000000008</v>
      </c>
      <c r="G61" s="4"/>
      <c r="H61" s="4"/>
      <c r="I61" s="4"/>
      <c r="J61" s="4"/>
      <c r="K61" s="4"/>
      <c r="L61" s="4"/>
      <c r="M61" s="5"/>
      <c r="N61" s="21"/>
    </row>
    <row r="62" spans="1:14" ht="15.75" x14ac:dyDescent="0.25">
      <c r="A62" s="2">
        <v>60</v>
      </c>
      <c r="B62" s="6" t="s">
        <v>81</v>
      </c>
      <c r="C62" s="6" t="s">
        <v>14</v>
      </c>
      <c r="D62" s="10">
        <v>8.1999999999999993</v>
      </c>
      <c r="E62" s="10">
        <f>10.331+9.5</f>
        <v>19.831</v>
      </c>
      <c r="F62" s="10"/>
      <c r="G62" s="10"/>
      <c r="H62" s="10"/>
      <c r="I62" s="10"/>
      <c r="J62" s="10"/>
      <c r="K62" s="10"/>
      <c r="L62" s="10"/>
      <c r="M62" s="10">
        <f>10+10+7.4+11.85+8.25</f>
        <v>47.5</v>
      </c>
      <c r="N62" s="7"/>
    </row>
    <row r="63" spans="1:14" ht="15.75" x14ac:dyDescent="0.25">
      <c r="A63" s="2">
        <v>61</v>
      </c>
      <c r="B63" s="2" t="s">
        <v>61</v>
      </c>
      <c r="C63" s="2" t="s">
        <v>14</v>
      </c>
      <c r="D63" s="4">
        <f>25.119+0.518+56.021+42.291+20.303+29.411+29.177+23.055+31.051+43.543+38.671+44.527</f>
        <v>383.68700000000001</v>
      </c>
      <c r="E63" s="4"/>
      <c r="F63" s="4"/>
      <c r="G63" s="4"/>
      <c r="H63" s="4"/>
      <c r="I63" s="4"/>
      <c r="J63" s="4"/>
      <c r="K63" s="4"/>
      <c r="L63" s="4"/>
      <c r="M63" s="5"/>
      <c r="N63" s="21"/>
    </row>
    <row r="64" spans="1:14" ht="15.75" x14ac:dyDescent="0.25">
      <c r="A64" s="2">
        <v>62</v>
      </c>
      <c r="B64" s="2" t="s">
        <v>62</v>
      </c>
      <c r="C64" s="2" t="s">
        <v>10</v>
      </c>
      <c r="D64" s="3">
        <f>7100+68000+58000+182200+174000+181500+238000+209100+301700+240000+36500</f>
        <v>1696100</v>
      </c>
      <c r="E64" s="3"/>
      <c r="F64" s="3"/>
      <c r="G64" s="3">
        <f>1000+5000+4000+3000+4000</f>
        <v>17000</v>
      </c>
      <c r="H64" s="3"/>
      <c r="I64" s="3"/>
      <c r="J64" s="3"/>
      <c r="K64" s="3"/>
      <c r="L64" s="3">
        <f>85000+86000+105000+165750+39780+87000+66000+39780+65000+64040</f>
        <v>803350</v>
      </c>
      <c r="M64" s="9"/>
      <c r="N64" s="26"/>
    </row>
    <row r="65" spans="1:14" ht="15.75" x14ac:dyDescent="0.25">
      <c r="A65" s="2">
        <v>63</v>
      </c>
      <c r="B65" s="2" t="s">
        <v>63</v>
      </c>
      <c r="C65" s="2" t="s">
        <v>14</v>
      </c>
      <c r="D65" s="4">
        <f>2+20.337</f>
        <v>22.337</v>
      </c>
      <c r="E65" s="4">
        <f>60+16.26</f>
        <v>76.260000000000005</v>
      </c>
      <c r="F65" s="4">
        <f>40+40+9.674+20+90.074+20+30.077+20+60</f>
        <v>329.82499999999999</v>
      </c>
      <c r="G65" s="4"/>
      <c r="H65" s="4"/>
      <c r="I65" s="4">
        <v>21</v>
      </c>
      <c r="J65" s="4"/>
      <c r="K65" s="4"/>
      <c r="L65" s="4"/>
      <c r="M65" s="5">
        <f>20+64</f>
        <v>84</v>
      </c>
      <c r="N65" s="21"/>
    </row>
    <row r="66" spans="1:14" ht="15.75" x14ac:dyDescent="0.25">
      <c r="A66" s="2">
        <v>64</v>
      </c>
      <c r="B66" s="2" t="s">
        <v>64</v>
      </c>
      <c r="C66" s="2" t="s">
        <v>14</v>
      </c>
      <c r="D66" s="4">
        <f>23.24+37.554+24.445+75.708+31.173+68.889+5.727+39.253+21.009+89.176+22.494+19.88+52.297+36.158+67.67+10.657+79.985+19.572+52.696+17.868+95.549+35.129+0.05</f>
        <v>926.17900000000009</v>
      </c>
      <c r="E66" s="4">
        <f>2.758+7.645+2.876+8.451</f>
        <v>21.729999999999997</v>
      </c>
      <c r="F66" s="4">
        <f>0.069+0.57+0.1</f>
        <v>0.73899999999999999</v>
      </c>
      <c r="G66" s="4">
        <f>0.881+4.331+6.778+7.52</f>
        <v>19.509999999999998</v>
      </c>
      <c r="H66" s="4">
        <f>0.78+9.505+2.316+2.34+2.756+6.5+11.173+4.68+0.6+1.56</f>
        <v>42.21</v>
      </c>
      <c r="I66" s="4"/>
      <c r="J66" s="4"/>
      <c r="K66" s="4"/>
      <c r="L66" s="4"/>
      <c r="M66" s="5">
        <f>20+40+40</f>
        <v>100</v>
      </c>
      <c r="N66" s="21"/>
    </row>
    <row r="67" spans="1:14" ht="15.75" x14ac:dyDescent="0.25">
      <c r="A67" s="2">
        <v>65</v>
      </c>
      <c r="B67" s="2" t="s">
        <v>65</v>
      </c>
      <c r="C67" s="2" t="s">
        <v>14</v>
      </c>
      <c r="D67" s="4">
        <f>0.125+0.00856+1.104</f>
        <v>1.2375600000000002</v>
      </c>
      <c r="E67" s="4">
        <v>3.9159999999999999</v>
      </c>
      <c r="F67" s="4">
        <f>0.148+0.615</f>
        <v>0.76300000000000001</v>
      </c>
      <c r="G67" s="4">
        <f>0.047+0.12+0.17+0.05+1.501+0.077</f>
        <v>1.9649999999999999</v>
      </c>
      <c r="H67" s="4"/>
      <c r="I67" s="4"/>
      <c r="J67" s="4"/>
      <c r="K67" s="4"/>
      <c r="L67" s="4">
        <f>0.13+0.3+0.24</f>
        <v>0.66999999999999993</v>
      </c>
      <c r="M67" s="23">
        <v>0.03</v>
      </c>
      <c r="N67" s="21"/>
    </row>
    <row r="68" spans="1:14" ht="15.75" x14ac:dyDescent="0.25">
      <c r="A68" s="2">
        <v>66</v>
      </c>
      <c r="B68" s="2" t="s">
        <v>66</v>
      </c>
      <c r="C68" s="2" t="s">
        <v>14</v>
      </c>
      <c r="D68" s="4">
        <f>200+120+60+80+40+100+140.34+80+120</f>
        <v>940.34</v>
      </c>
      <c r="E68" s="4"/>
      <c r="F68" s="4">
        <f>288+312+576+456+456+528+744+360+692+528+624+744</f>
        <v>6308</v>
      </c>
      <c r="G68" s="4"/>
      <c r="H68" s="4"/>
      <c r="I68" s="4"/>
      <c r="J68" s="4"/>
      <c r="K68" s="4"/>
      <c r="L68" s="4">
        <v>48</v>
      </c>
      <c r="M68" s="5"/>
      <c r="N68" s="21"/>
    </row>
    <row r="69" spans="1:14" ht="15.75" x14ac:dyDescent="0.25">
      <c r="A69" s="2">
        <v>67</v>
      </c>
      <c r="B69" s="2" t="s">
        <v>67</v>
      </c>
      <c r="C69" s="2" t="s">
        <v>14</v>
      </c>
      <c r="D69" s="4">
        <f>19.715+5.3+0.785</f>
        <v>25.8</v>
      </c>
      <c r="E69" s="4"/>
      <c r="F69" s="4"/>
      <c r="G69" s="4"/>
      <c r="H69" s="4"/>
      <c r="I69" s="4"/>
      <c r="J69" s="4"/>
      <c r="K69" s="4"/>
      <c r="L69" s="4"/>
      <c r="M69" s="5"/>
      <c r="N69" s="21"/>
    </row>
    <row r="70" spans="1:14" ht="15.75" x14ac:dyDescent="0.25">
      <c r="A70" s="2">
        <v>68</v>
      </c>
      <c r="B70" s="2" t="s">
        <v>68</v>
      </c>
      <c r="C70" s="2" t="s">
        <v>14</v>
      </c>
      <c r="D70" s="4">
        <f>20.01+20</f>
        <v>40.010000000000005</v>
      </c>
      <c r="E70" s="4"/>
      <c r="F70" s="4"/>
      <c r="G70" s="4"/>
      <c r="H70" s="4"/>
      <c r="I70" s="4"/>
      <c r="J70" s="4"/>
      <c r="K70" s="4"/>
      <c r="L70" s="4">
        <v>0.1</v>
      </c>
      <c r="M70" s="5"/>
      <c r="N70" s="21"/>
    </row>
    <row r="71" spans="1:14" ht="15.75" x14ac:dyDescent="0.25">
      <c r="A71" s="2">
        <v>69</v>
      </c>
      <c r="B71" s="2" t="s">
        <v>69</v>
      </c>
      <c r="C71" s="2" t="s">
        <v>14</v>
      </c>
      <c r="D71" s="4">
        <f>0.1+20+0.5+140.945+24.983+0.505+0.2+1+0.3+1</f>
        <v>189.53299999999999</v>
      </c>
      <c r="E71" s="4"/>
      <c r="F71" s="4">
        <f>0.2+0.1+0.025+0.125+0.15+0.15+0.15</f>
        <v>0.90000000000000013</v>
      </c>
      <c r="G71" s="4"/>
      <c r="H71" s="4"/>
      <c r="I71" s="4"/>
      <c r="J71" s="4"/>
      <c r="K71" s="4"/>
      <c r="L71" s="4"/>
      <c r="M71" s="10"/>
      <c r="N71" s="21"/>
    </row>
    <row r="72" spans="1:14" ht="15.75" x14ac:dyDescent="0.25">
      <c r="A72" s="2">
        <v>70</v>
      </c>
      <c r="B72" s="2" t="s">
        <v>70</v>
      </c>
      <c r="C72" s="2" t="s">
        <v>10</v>
      </c>
      <c r="D72" s="3">
        <f>465+315+200</f>
        <v>980</v>
      </c>
      <c r="E72" s="3"/>
      <c r="F72" s="3">
        <f>330+380+180+200+135</f>
        <v>1225</v>
      </c>
      <c r="G72" s="3"/>
      <c r="H72" s="3"/>
      <c r="I72" s="3"/>
      <c r="J72" s="3"/>
      <c r="K72" s="3"/>
      <c r="L72" s="3"/>
      <c r="M72" s="9"/>
      <c r="N72" s="26"/>
    </row>
    <row r="73" spans="1:14" ht="15.75" x14ac:dyDescent="0.25">
      <c r="A73" s="2">
        <v>71</v>
      </c>
      <c r="B73" s="2" t="s">
        <v>71</v>
      </c>
      <c r="C73" s="2" t="s">
        <v>14</v>
      </c>
      <c r="D73" s="4"/>
      <c r="E73" s="4">
        <f>7.003+7.279</f>
        <v>14.282</v>
      </c>
      <c r="F73" s="4"/>
      <c r="G73" s="4"/>
      <c r="H73" s="4"/>
      <c r="I73" s="4"/>
      <c r="J73" s="4"/>
      <c r="K73" s="4"/>
      <c r="L73" s="4"/>
      <c r="M73" s="5"/>
      <c r="N73" s="21"/>
    </row>
    <row r="74" spans="1:14" ht="15.75" x14ac:dyDescent="0.25">
      <c r="A74" s="2">
        <v>72</v>
      </c>
      <c r="B74" s="2" t="s">
        <v>112</v>
      </c>
      <c r="C74" s="2" t="s">
        <v>14</v>
      </c>
      <c r="D74" s="4"/>
      <c r="E74" s="4"/>
      <c r="F74" s="4"/>
      <c r="G74" s="4"/>
      <c r="H74" s="4"/>
      <c r="I74" s="4"/>
      <c r="J74" s="4"/>
      <c r="K74" s="4"/>
      <c r="L74" s="4"/>
      <c r="M74" s="5">
        <v>3.65</v>
      </c>
      <c r="N74" s="21"/>
    </row>
    <row r="75" spans="1:14" ht="15.75" x14ac:dyDescent="0.25">
      <c r="A75" s="2">
        <v>73</v>
      </c>
      <c r="B75" s="2" t="s">
        <v>72</v>
      </c>
      <c r="C75" s="2" t="s">
        <v>14</v>
      </c>
      <c r="D75" s="4">
        <f>0.192+41+0.33+0.256+0.768+0.096+1.5+0.789</f>
        <v>44.930999999999997</v>
      </c>
      <c r="E75" s="4"/>
      <c r="F75" s="4">
        <v>0.27500000000000002</v>
      </c>
      <c r="G75" s="4"/>
      <c r="H75" s="4">
        <f>0.75+0.75</f>
        <v>1.5</v>
      </c>
      <c r="I75" s="4"/>
      <c r="J75" s="4"/>
      <c r="K75" s="4"/>
      <c r="L75" s="4"/>
      <c r="M75" s="5"/>
      <c r="N75" s="21"/>
    </row>
    <row r="76" spans="1:14" ht="15.75" x14ac:dyDescent="0.25">
      <c r="A76" s="2">
        <v>74</v>
      </c>
      <c r="B76" s="2" t="s">
        <v>57</v>
      </c>
      <c r="C76" s="2" t="s">
        <v>38</v>
      </c>
      <c r="D76" s="3"/>
      <c r="E76" s="3"/>
      <c r="F76" s="3"/>
      <c r="G76" s="3"/>
      <c r="H76" s="3">
        <v>4425</v>
      </c>
      <c r="I76" s="3"/>
      <c r="J76" s="3"/>
      <c r="K76" s="3"/>
      <c r="L76" s="3"/>
      <c r="M76" s="9"/>
      <c r="N76" s="26"/>
    </row>
    <row r="77" spans="1:14" ht="15.75" x14ac:dyDescent="0.25">
      <c r="A77" s="2">
        <v>75</v>
      </c>
      <c r="B77" s="2" t="s">
        <v>73</v>
      </c>
      <c r="C77" s="2" t="s">
        <v>14</v>
      </c>
      <c r="D77" s="4">
        <f>11.88+25.323+16.311+17.3+17.106+16.812+15.58+17.359</f>
        <v>137.67100000000002</v>
      </c>
      <c r="E77" s="4"/>
      <c r="F77" s="4"/>
      <c r="G77" s="4"/>
      <c r="H77" s="4"/>
      <c r="I77" s="4"/>
      <c r="J77" s="4"/>
      <c r="K77" s="4"/>
      <c r="L77" s="4"/>
      <c r="M77" s="5"/>
      <c r="N77" s="21"/>
    </row>
    <row r="78" spans="1:14" ht="15.75" x14ac:dyDescent="0.25">
      <c r="A78" s="2">
        <v>76</v>
      </c>
      <c r="B78" s="2" t="s">
        <v>74</v>
      </c>
      <c r="C78" s="2" t="s">
        <v>14</v>
      </c>
      <c r="D78" s="4">
        <v>16.91</v>
      </c>
      <c r="E78" s="4">
        <v>4.843</v>
      </c>
      <c r="F78" s="4"/>
      <c r="G78" s="4"/>
      <c r="H78" s="4"/>
      <c r="I78" s="4"/>
      <c r="J78" s="4"/>
      <c r="K78" s="4"/>
      <c r="L78" s="4">
        <f>11.3+11.1</f>
        <v>22.4</v>
      </c>
      <c r="M78" s="5">
        <v>11.6</v>
      </c>
      <c r="N78" s="21"/>
    </row>
    <row r="79" spans="1:14" ht="15.75" x14ac:dyDescent="0.25">
      <c r="A79" s="2">
        <v>77</v>
      </c>
      <c r="B79" s="2" t="s">
        <v>113</v>
      </c>
      <c r="C79" s="2" t="s">
        <v>14</v>
      </c>
      <c r="D79" s="4"/>
      <c r="E79" s="4"/>
      <c r="F79" s="4"/>
      <c r="G79" s="4"/>
      <c r="H79" s="4"/>
      <c r="I79" s="4"/>
      <c r="J79" s="4"/>
      <c r="K79" s="4"/>
      <c r="L79" s="4"/>
      <c r="M79" s="5">
        <v>52</v>
      </c>
      <c r="N79" s="21"/>
    </row>
    <row r="80" spans="1:14" ht="15.75" x14ac:dyDescent="0.25">
      <c r="A80" s="2">
        <v>78</v>
      </c>
      <c r="B80" s="2" t="s">
        <v>75</v>
      </c>
      <c r="C80" s="2" t="s">
        <v>14</v>
      </c>
      <c r="D80" s="4">
        <f>1.45+0.037+18.4+5.9+18.4</f>
        <v>44.186999999999998</v>
      </c>
      <c r="E80" s="4"/>
      <c r="F80" s="4"/>
      <c r="G80" s="4"/>
      <c r="H80" s="4"/>
      <c r="I80" s="4"/>
      <c r="J80" s="4"/>
      <c r="K80" s="4"/>
      <c r="L80" s="4"/>
      <c r="M80" s="5"/>
      <c r="N80" s="21"/>
    </row>
    <row r="81" spans="1:14" ht="15.75" x14ac:dyDescent="0.25">
      <c r="A81" s="2">
        <v>79</v>
      </c>
      <c r="B81" s="2" t="s">
        <v>76</v>
      </c>
      <c r="C81" s="2" t="s">
        <v>38</v>
      </c>
      <c r="D81" s="3">
        <f>178+750+150+26+1000</f>
        <v>2104</v>
      </c>
      <c r="E81" s="3">
        <v>500</v>
      </c>
      <c r="F81" s="3"/>
      <c r="G81" s="3"/>
      <c r="H81" s="3"/>
      <c r="I81" s="3"/>
      <c r="J81" s="3"/>
      <c r="K81" s="3"/>
      <c r="L81" s="3"/>
      <c r="M81" s="9"/>
      <c r="N81" s="26"/>
    </row>
    <row r="82" spans="1:14" ht="15.75" x14ac:dyDescent="0.25">
      <c r="A82" s="2">
        <v>80</v>
      </c>
      <c r="B82" s="2" t="s">
        <v>77</v>
      </c>
      <c r="C82" s="2" t="s">
        <v>14</v>
      </c>
      <c r="D82" s="4">
        <f>2+2+10.2</f>
        <v>14.2</v>
      </c>
      <c r="E82" s="4"/>
      <c r="F82" s="4"/>
      <c r="G82" s="4"/>
      <c r="H82" s="4"/>
      <c r="I82" s="4"/>
      <c r="J82" s="4"/>
      <c r="K82" s="4"/>
      <c r="L82" s="4"/>
      <c r="M82" s="5"/>
      <c r="N82" s="21"/>
    </row>
    <row r="83" spans="1:14" ht="15.75" x14ac:dyDescent="0.25">
      <c r="A83" s="2">
        <v>81</v>
      </c>
      <c r="B83" s="2" t="s">
        <v>78</v>
      </c>
      <c r="C83" s="2" t="s">
        <v>14</v>
      </c>
      <c r="D83" s="4"/>
      <c r="E83" s="4"/>
      <c r="F83" s="4"/>
      <c r="G83" s="4">
        <v>1</v>
      </c>
      <c r="H83" s="4"/>
      <c r="I83" s="4"/>
      <c r="J83" s="4"/>
      <c r="K83" s="4"/>
      <c r="L83" s="4"/>
      <c r="M83" s="5"/>
      <c r="N83" s="21"/>
    </row>
    <row r="84" spans="1:14" ht="15.75" x14ac:dyDescent="0.25">
      <c r="A84" s="2">
        <v>82</v>
      </c>
      <c r="B84" s="2" t="s">
        <v>114</v>
      </c>
      <c r="C84" s="2" t="s">
        <v>14</v>
      </c>
      <c r="D84" s="4"/>
      <c r="E84" s="4"/>
      <c r="F84" s="4"/>
      <c r="G84" s="4"/>
      <c r="H84" s="4"/>
      <c r="I84" s="4"/>
      <c r="J84" s="4"/>
      <c r="K84" s="4"/>
      <c r="L84" s="4">
        <f>0.6+20</f>
        <v>20.6</v>
      </c>
      <c r="M84" s="5"/>
      <c r="N84" s="21"/>
    </row>
    <row r="85" spans="1:14" ht="15.75" x14ac:dyDescent="0.25">
      <c r="A85" s="2">
        <v>83</v>
      </c>
      <c r="B85" s="6" t="s">
        <v>79</v>
      </c>
      <c r="C85" s="6" t="s">
        <v>14</v>
      </c>
      <c r="D85" s="10"/>
      <c r="E85" s="10"/>
      <c r="F85" s="10"/>
      <c r="G85" s="10">
        <v>18.677</v>
      </c>
      <c r="H85" s="10">
        <v>21</v>
      </c>
      <c r="I85" s="10"/>
      <c r="J85" s="10"/>
      <c r="K85" s="10"/>
      <c r="L85" s="10">
        <f>85+25+25+46+37+25+46</f>
        <v>289</v>
      </c>
      <c r="M85" s="10"/>
      <c r="N85" s="7"/>
    </row>
    <row r="86" spans="1:14" ht="15.75" x14ac:dyDescent="0.25">
      <c r="A86" s="2">
        <v>84</v>
      </c>
      <c r="B86" s="6" t="s">
        <v>80</v>
      </c>
      <c r="C86" s="6" t="s">
        <v>14</v>
      </c>
      <c r="D86" s="10"/>
      <c r="E86" s="10"/>
      <c r="F86" s="10">
        <f>30+60+25+25</f>
        <v>140</v>
      </c>
      <c r="G86" s="10"/>
      <c r="H86" s="10"/>
      <c r="I86" s="10"/>
      <c r="J86" s="10"/>
      <c r="K86" s="10"/>
      <c r="L86" s="10"/>
      <c r="M86" s="10">
        <f>27.71+28+26.9+27+26.895</f>
        <v>136.505</v>
      </c>
      <c r="N86" s="7"/>
    </row>
    <row r="87" spans="1:14" ht="15.75" x14ac:dyDescent="0.25">
      <c r="A87" s="2">
        <v>85</v>
      </c>
      <c r="B87" s="2" t="s">
        <v>82</v>
      </c>
      <c r="C87" s="2" t="s">
        <v>14</v>
      </c>
      <c r="D87" s="5"/>
      <c r="E87" s="5">
        <f>46+23+20+50+22</f>
        <v>161</v>
      </c>
      <c r="F87" s="5"/>
      <c r="G87" s="10"/>
      <c r="H87" s="10"/>
      <c r="I87" s="10"/>
      <c r="J87" s="10"/>
      <c r="K87" s="10"/>
      <c r="L87" s="10"/>
      <c r="M87" s="10"/>
      <c r="N87" s="7"/>
    </row>
    <row r="88" spans="1:14" ht="15.75" x14ac:dyDescent="0.25">
      <c r="A88" s="2">
        <v>86</v>
      </c>
      <c r="B88" s="2" t="s">
        <v>115</v>
      </c>
      <c r="C88" s="2" t="s">
        <v>14</v>
      </c>
      <c r="D88" s="5"/>
      <c r="E88" s="5"/>
      <c r="F88" s="5"/>
      <c r="G88" s="10"/>
      <c r="H88" s="10"/>
      <c r="I88" s="10"/>
      <c r="J88" s="10"/>
      <c r="K88" s="10"/>
      <c r="L88" s="10"/>
      <c r="M88" s="10">
        <f>21.3+20.9</f>
        <v>42.2</v>
      </c>
      <c r="N88" s="7"/>
    </row>
    <row r="89" spans="1:14" ht="15.75" x14ac:dyDescent="0.25">
      <c r="A89" s="2">
        <v>87</v>
      </c>
      <c r="B89" s="6" t="s">
        <v>116</v>
      </c>
      <c r="C89" s="6" t="s">
        <v>38</v>
      </c>
      <c r="D89" s="27"/>
      <c r="E89" s="27"/>
      <c r="F89" s="27"/>
      <c r="G89" s="27"/>
      <c r="H89" s="27"/>
      <c r="I89" s="27"/>
      <c r="J89" s="27"/>
      <c r="K89" s="27"/>
      <c r="L89" s="27">
        <v>9000</v>
      </c>
      <c r="M89" s="27"/>
      <c r="N89" s="11"/>
    </row>
    <row r="90" spans="1:14" ht="15.75" x14ac:dyDescent="0.25">
      <c r="A90" s="2">
        <v>88</v>
      </c>
      <c r="B90" s="6" t="s">
        <v>117</v>
      </c>
      <c r="C90" s="6" t="s">
        <v>38</v>
      </c>
      <c r="D90" s="27"/>
      <c r="E90" s="27"/>
      <c r="F90" s="27"/>
      <c r="G90" s="27"/>
      <c r="H90" s="27"/>
      <c r="I90" s="27"/>
      <c r="J90" s="27"/>
      <c r="K90" s="27"/>
      <c r="L90" s="27">
        <f>10000+600</f>
        <v>10600</v>
      </c>
      <c r="M90" s="27"/>
      <c r="N90" s="11"/>
    </row>
    <row r="91" spans="1:14" ht="15.75" x14ac:dyDescent="0.25">
      <c r="A91" s="2">
        <v>89</v>
      </c>
      <c r="B91" s="6" t="s">
        <v>83</v>
      </c>
      <c r="C91" s="6" t="s">
        <v>14</v>
      </c>
      <c r="D91" s="10">
        <v>19.068000000000001</v>
      </c>
      <c r="E91" s="10"/>
      <c r="F91" s="10"/>
      <c r="G91" s="10"/>
      <c r="H91" s="10"/>
      <c r="I91" s="10"/>
      <c r="J91" s="10"/>
      <c r="K91" s="10"/>
      <c r="L91" s="10"/>
      <c r="M91" s="10"/>
      <c r="N91" s="7"/>
    </row>
    <row r="92" spans="1:14" ht="15.75" x14ac:dyDescent="0.25">
      <c r="A92" s="2">
        <v>90</v>
      </c>
      <c r="B92" s="6" t="s">
        <v>84</v>
      </c>
      <c r="C92" s="6" t="s">
        <v>14</v>
      </c>
      <c r="D92" s="7"/>
      <c r="E92" s="7"/>
      <c r="F92" s="7">
        <f>0.888+0.911+0.201</f>
        <v>2</v>
      </c>
      <c r="G92" s="7"/>
      <c r="H92" s="7"/>
      <c r="I92" s="7"/>
      <c r="J92" s="7"/>
      <c r="K92" s="7"/>
      <c r="L92" s="7"/>
      <c r="M92" s="7"/>
      <c r="N92" s="7"/>
    </row>
    <row r="93" spans="1:14" ht="15.75" x14ac:dyDescent="0.25">
      <c r="A93" s="2">
        <v>91</v>
      </c>
      <c r="B93" s="6" t="s">
        <v>85</v>
      </c>
      <c r="C93" s="6" t="s">
        <v>38</v>
      </c>
      <c r="D93" s="11"/>
      <c r="E93" s="11"/>
      <c r="F93" s="11"/>
      <c r="G93" s="11">
        <v>10000</v>
      </c>
      <c r="H93" s="11"/>
      <c r="I93" s="11"/>
      <c r="J93" s="11"/>
      <c r="K93" s="11"/>
      <c r="L93" s="11">
        <v>1500</v>
      </c>
      <c r="M93" s="11"/>
      <c r="N93" s="11"/>
    </row>
    <row r="94" spans="1:14" ht="15.75" x14ac:dyDescent="0.25">
      <c r="A94" s="2">
        <v>92</v>
      </c>
      <c r="B94" s="6" t="s">
        <v>86</v>
      </c>
      <c r="C94" s="6" t="s">
        <v>38</v>
      </c>
      <c r="D94" s="11"/>
      <c r="E94" s="11"/>
      <c r="F94" s="11">
        <f>173+230+80+70</f>
        <v>553</v>
      </c>
      <c r="G94" s="11">
        <f>3400+2080+240</f>
        <v>5720</v>
      </c>
      <c r="H94" s="11"/>
      <c r="I94" s="11">
        <v>2400</v>
      </c>
      <c r="J94" s="11"/>
      <c r="K94" s="11"/>
      <c r="L94" s="11">
        <v>460</v>
      </c>
      <c r="M94" s="11"/>
      <c r="N94" s="11"/>
    </row>
    <row r="95" spans="1:14" ht="15.75" x14ac:dyDescent="0.25">
      <c r="A95" s="2">
        <v>93</v>
      </c>
      <c r="B95" s="6" t="s">
        <v>87</v>
      </c>
      <c r="C95" s="6" t="s">
        <v>14</v>
      </c>
      <c r="D95" s="7"/>
      <c r="E95" s="7"/>
      <c r="F95" s="7"/>
      <c r="G95" s="7">
        <v>2</v>
      </c>
      <c r="H95" s="7"/>
      <c r="I95" s="7"/>
      <c r="J95" s="7"/>
      <c r="K95" s="7"/>
      <c r="L95" s="7"/>
      <c r="M95" s="7"/>
      <c r="N95" s="7"/>
    </row>
    <row r="96" spans="1:14" ht="15.75" x14ac:dyDescent="0.25">
      <c r="A96" s="2">
        <v>94</v>
      </c>
      <c r="B96" s="6" t="s">
        <v>88</v>
      </c>
      <c r="C96" s="6" t="s">
        <v>10</v>
      </c>
      <c r="D96" s="11"/>
      <c r="E96" s="11"/>
      <c r="F96" s="11"/>
      <c r="G96" s="11">
        <f>3000+5000+3000+3500+4000+4000</f>
        <v>22500</v>
      </c>
      <c r="H96" s="11"/>
      <c r="I96" s="11"/>
      <c r="J96" s="11"/>
      <c r="K96" s="11"/>
      <c r="L96" s="11"/>
      <c r="M96" s="11"/>
      <c r="N96" s="11"/>
    </row>
    <row r="97" spans="1:14" ht="15.75" x14ac:dyDescent="0.25">
      <c r="A97" s="2">
        <v>95</v>
      </c>
      <c r="B97" s="6" t="s">
        <v>118</v>
      </c>
      <c r="C97" s="6" t="s">
        <v>14</v>
      </c>
      <c r="D97" s="7"/>
      <c r="E97" s="7"/>
      <c r="F97" s="7"/>
      <c r="G97" s="7"/>
      <c r="H97" s="7"/>
      <c r="I97" s="7"/>
      <c r="J97" s="7"/>
      <c r="K97" s="7"/>
      <c r="L97" s="7"/>
      <c r="M97" s="31">
        <v>1.2999999999999999E-2</v>
      </c>
      <c r="N97" s="7"/>
    </row>
    <row r="98" spans="1:14" ht="15.75" x14ac:dyDescent="0.25">
      <c r="A98" s="2">
        <v>96</v>
      </c>
      <c r="B98" s="6" t="s">
        <v>119</v>
      </c>
      <c r="C98" s="6" t="s">
        <v>120</v>
      </c>
      <c r="D98" s="11"/>
      <c r="E98" s="11"/>
      <c r="F98" s="11"/>
      <c r="G98" s="11"/>
      <c r="H98" s="11"/>
      <c r="I98" s="11"/>
      <c r="J98" s="11"/>
      <c r="K98" s="11"/>
      <c r="L98" s="11">
        <f>6050+4465+3014</f>
        <v>13529</v>
      </c>
      <c r="M98" s="11"/>
      <c r="N98" s="11"/>
    </row>
    <row r="99" spans="1:14" ht="15.75" x14ac:dyDescent="0.25">
      <c r="A99" s="2">
        <v>97</v>
      </c>
      <c r="B99" s="6" t="s">
        <v>86</v>
      </c>
      <c r="C99" s="6" t="s">
        <v>89</v>
      </c>
      <c r="D99" s="11"/>
      <c r="E99" s="11"/>
      <c r="F99" s="11"/>
      <c r="G99" s="11">
        <v>400</v>
      </c>
      <c r="H99" s="11"/>
      <c r="I99" s="11"/>
      <c r="J99" s="11"/>
      <c r="K99" s="11"/>
      <c r="L99" s="11"/>
      <c r="M99" s="11"/>
      <c r="N99" s="11"/>
    </row>
    <row r="100" spans="1:14" ht="15.75" x14ac:dyDescent="0.25">
      <c r="A100" s="2">
        <v>98</v>
      </c>
      <c r="B100" s="6" t="s">
        <v>41</v>
      </c>
      <c r="C100" s="6" t="s">
        <v>14</v>
      </c>
      <c r="D100" s="7"/>
      <c r="E100" s="7"/>
      <c r="F100" s="7">
        <v>35</v>
      </c>
      <c r="G100" s="7"/>
      <c r="H100" s="7"/>
      <c r="I100" s="7"/>
      <c r="J100" s="7"/>
      <c r="K100" s="7"/>
      <c r="L100" s="7">
        <f>20.936+20.5+21.387</f>
        <v>62.823</v>
      </c>
      <c r="M100" s="7"/>
      <c r="N100" s="7"/>
    </row>
    <row r="101" spans="1:14" ht="15.75" x14ac:dyDescent="0.25">
      <c r="A101" s="2">
        <v>99</v>
      </c>
      <c r="B101" s="6" t="s">
        <v>90</v>
      </c>
      <c r="C101" s="6" t="s">
        <v>14</v>
      </c>
      <c r="D101" s="7"/>
      <c r="E101" s="7">
        <v>1.5</v>
      </c>
      <c r="F101" s="7"/>
      <c r="G101" s="7"/>
      <c r="H101" s="7"/>
      <c r="I101" s="7"/>
      <c r="J101" s="7"/>
      <c r="K101" s="7"/>
      <c r="L101" s="7"/>
      <c r="M101" s="7"/>
      <c r="N101" s="7"/>
    </row>
    <row r="102" spans="1:14" ht="15.75" x14ac:dyDescent="0.25">
      <c r="A102" s="2">
        <v>100</v>
      </c>
      <c r="B102" s="6" t="s">
        <v>91</v>
      </c>
      <c r="C102" s="6" t="s">
        <v>14</v>
      </c>
      <c r="D102" s="7">
        <f>0.54+0.84</f>
        <v>1.38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 ht="15.75" x14ac:dyDescent="0.25">
      <c r="A103" s="2">
        <v>101</v>
      </c>
      <c r="B103" s="6" t="s">
        <v>121</v>
      </c>
      <c r="C103" s="6" t="s">
        <v>38</v>
      </c>
      <c r="D103" s="11">
        <v>648</v>
      </c>
      <c r="E103" s="11"/>
      <c r="F103" s="11"/>
      <c r="G103" s="11"/>
      <c r="H103" s="11"/>
      <c r="I103" s="11"/>
      <c r="J103" s="11"/>
      <c r="K103" s="11"/>
      <c r="L103" s="11">
        <f>44500+9135+300+18360</f>
        <v>72295</v>
      </c>
      <c r="M103" s="11">
        <f>3000+2000</f>
        <v>5000</v>
      </c>
      <c r="N103" s="11"/>
    </row>
    <row r="104" spans="1:14" ht="15.75" x14ac:dyDescent="0.25">
      <c r="A104" s="2">
        <v>102</v>
      </c>
      <c r="B104" s="6" t="s">
        <v>92</v>
      </c>
      <c r="C104" s="6" t="s">
        <v>38</v>
      </c>
      <c r="D104" s="11"/>
      <c r="E104" s="11"/>
      <c r="F104" s="11"/>
      <c r="G104" s="11">
        <v>1</v>
      </c>
      <c r="H104" s="11"/>
      <c r="I104" s="11"/>
      <c r="J104" s="11"/>
      <c r="K104" s="11"/>
      <c r="L104" s="11"/>
      <c r="M104" s="11"/>
      <c r="N104" s="11"/>
    </row>
    <row r="105" spans="1:14" ht="15.75" x14ac:dyDescent="0.25">
      <c r="A105" s="2">
        <v>103</v>
      </c>
      <c r="B105" s="6" t="s">
        <v>122</v>
      </c>
      <c r="C105" s="6" t="s">
        <v>10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>
        <v>112</v>
      </c>
      <c r="N105" s="11"/>
    </row>
    <row r="106" spans="1:14" ht="15.75" x14ac:dyDescent="0.25">
      <c r="A106" s="2">
        <v>104</v>
      </c>
      <c r="B106" s="6" t="s">
        <v>123</v>
      </c>
      <c r="C106" s="6" t="s">
        <v>14</v>
      </c>
      <c r="D106" s="7"/>
      <c r="E106" s="7"/>
      <c r="F106" s="7"/>
      <c r="G106" s="7"/>
      <c r="H106" s="7"/>
      <c r="I106" s="7"/>
      <c r="J106" s="7"/>
      <c r="K106" s="7"/>
      <c r="L106" s="7"/>
      <c r="M106" s="7">
        <f>0.029+0.05</f>
        <v>7.9000000000000001E-2</v>
      </c>
      <c r="N106" s="7"/>
    </row>
    <row r="107" spans="1:14" ht="15.75" x14ac:dyDescent="0.25">
      <c r="A107" s="2">
        <v>105</v>
      </c>
      <c r="B107" s="6" t="s">
        <v>93</v>
      </c>
      <c r="C107" s="6" t="s">
        <v>14</v>
      </c>
      <c r="D107" s="7"/>
      <c r="E107" s="7"/>
      <c r="F107" s="7">
        <v>15</v>
      </c>
      <c r="G107" s="7"/>
      <c r="H107" s="7"/>
      <c r="I107" s="7"/>
      <c r="J107" s="7"/>
      <c r="K107" s="7"/>
      <c r="L107" s="7"/>
      <c r="M107" s="7">
        <v>1.04</v>
      </c>
      <c r="N107" s="7"/>
    </row>
    <row r="108" spans="1:14" ht="15.75" x14ac:dyDescent="0.25">
      <c r="A108" s="2">
        <v>106</v>
      </c>
      <c r="B108" s="6" t="s">
        <v>124</v>
      </c>
      <c r="C108" s="6" t="s">
        <v>14</v>
      </c>
      <c r="D108" s="7"/>
      <c r="E108" s="7"/>
      <c r="F108" s="7"/>
      <c r="G108" s="7"/>
      <c r="H108" s="7"/>
      <c r="I108" s="7"/>
      <c r="J108" s="7"/>
      <c r="K108" s="7"/>
      <c r="L108" s="7">
        <v>19</v>
      </c>
      <c r="M108" s="7"/>
      <c r="N108" s="7"/>
    </row>
    <row r="109" spans="1:14" ht="15.75" x14ac:dyDescent="0.25">
      <c r="A109" s="2">
        <v>107</v>
      </c>
      <c r="B109" s="6" t="s">
        <v>39</v>
      </c>
      <c r="C109" s="6" t="s">
        <v>14</v>
      </c>
      <c r="D109" s="7"/>
      <c r="E109" s="7"/>
      <c r="F109" s="7"/>
      <c r="G109" s="7"/>
      <c r="H109" s="7"/>
      <c r="I109" s="7"/>
      <c r="J109" s="7"/>
      <c r="K109" s="7"/>
      <c r="L109" s="7">
        <v>19.600000000000001</v>
      </c>
      <c r="M109" s="7"/>
      <c r="N109" s="7"/>
    </row>
    <row r="110" spans="1:14" ht="15.75" x14ac:dyDescent="0.25">
      <c r="A110" s="2">
        <v>108</v>
      </c>
      <c r="B110" s="6" t="s">
        <v>94</v>
      </c>
      <c r="C110" s="6" t="s">
        <v>14</v>
      </c>
      <c r="D110" s="7">
        <f>18.775+20.516</f>
        <v>39.290999999999997</v>
      </c>
      <c r="E110" s="7">
        <v>17.989999999999998</v>
      </c>
      <c r="F110" s="7"/>
      <c r="G110" s="7"/>
      <c r="H110" s="7"/>
      <c r="I110" s="7">
        <v>20</v>
      </c>
      <c r="J110" s="7"/>
      <c r="K110" s="7"/>
      <c r="L110" s="7">
        <f>11.8+9.632</f>
        <v>21.432000000000002</v>
      </c>
      <c r="M110" s="7">
        <f>51.61+58.8+38.55+87.425+77.84+58.47</f>
        <v>372.69500000000005</v>
      </c>
      <c r="N110" s="7"/>
    </row>
    <row r="111" spans="1:14" ht="15.75" x14ac:dyDescent="0.25">
      <c r="A111" s="2">
        <v>109</v>
      </c>
      <c r="B111" s="6" t="s">
        <v>95</v>
      </c>
      <c r="C111" s="6" t="s">
        <v>96</v>
      </c>
      <c r="D111" s="11">
        <f>7800+4800+19800+27000</f>
        <v>59400</v>
      </c>
      <c r="E111" s="11"/>
      <c r="F111" s="11"/>
      <c r="G111" s="11">
        <v>9658</v>
      </c>
      <c r="H111" s="11"/>
      <c r="I111" s="11"/>
      <c r="J111" s="11"/>
      <c r="K111" s="11"/>
      <c r="L111" s="11"/>
      <c r="M111" s="11"/>
      <c r="N111" s="11"/>
    </row>
    <row r="112" spans="1:14" ht="15.75" x14ac:dyDescent="0.25">
      <c r="A112" s="2">
        <v>110</v>
      </c>
      <c r="B112" s="6" t="s">
        <v>97</v>
      </c>
      <c r="C112" s="6" t="s">
        <v>38</v>
      </c>
      <c r="D112" s="11">
        <v>757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 ht="15.75" x14ac:dyDescent="0.25">
      <c r="A113" s="2">
        <v>111</v>
      </c>
      <c r="B113" s="6" t="s">
        <v>98</v>
      </c>
      <c r="C113" s="6" t="s">
        <v>10</v>
      </c>
      <c r="D113" s="11"/>
      <c r="E113" s="11"/>
      <c r="F113" s="11">
        <v>3</v>
      </c>
      <c r="G113" s="11">
        <v>6</v>
      </c>
      <c r="H113" s="11"/>
      <c r="I113" s="11"/>
      <c r="J113" s="11"/>
      <c r="K113" s="11"/>
      <c r="L113" s="11"/>
      <c r="M113" s="11"/>
      <c r="N113" s="11"/>
    </row>
    <row r="114" spans="1:14" ht="15.75" x14ac:dyDescent="0.25">
      <c r="A114" s="2">
        <v>112</v>
      </c>
      <c r="B114" s="6" t="s">
        <v>99</v>
      </c>
      <c r="C114" s="6" t="s">
        <v>10</v>
      </c>
      <c r="D114" s="11"/>
      <c r="E114" s="11"/>
      <c r="F114" s="11">
        <v>3</v>
      </c>
      <c r="G114" s="11">
        <v>3</v>
      </c>
      <c r="H114" s="11"/>
      <c r="I114" s="11"/>
      <c r="J114" s="11"/>
      <c r="K114" s="11"/>
      <c r="L114" s="11"/>
      <c r="M114" s="11"/>
      <c r="N114" s="11"/>
    </row>
    <row r="115" spans="1:14" ht="15.75" x14ac:dyDescent="0.25">
      <c r="A115" s="2">
        <v>113</v>
      </c>
      <c r="B115" s="6" t="s">
        <v>100</v>
      </c>
      <c r="C115" s="6" t="s">
        <v>10</v>
      </c>
      <c r="D115" s="11"/>
      <c r="E115" s="11"/>
      <c r="F115" s="11">
        <v>3</v>
      </c>
      <c r="G115" s="11">
        <v>2</v>
      </c>
      <c r="H115" s="11"/>
      <c r="I115" s="11"/>
      <c r="J115" s="11"/>
      <c r="K115" s="11"/>
      <c r="L115" s="11"/>
      <c r="M115" s="11"/>
      <c r="N115" s="11"/>
    </row>
    <row r="116" spans="1:14" ht="15.75" x14ac:dyDescent="0.25">
      <c r="A116" s="2">
        <v>114</v>
      </c>
      <c r="B116" s="6" t="s">
        <v>80</v>
      </c>
      <c r="C116" s="6" t="s">
        <v>38</v>
      </c>
      <c r="D116" s="11"/>
      <c r="E116" s="11"/>
      <c r="F116" s="11">
        <v>25000</v>
      </c>
      <c r="G116" s="11"/>
      <c r="H116" s="11"/>
      <c r="I116" s="11"/>
      <c r="J116" s="11"/>
      <c r="K116" s="11"/>
      <c r="L116" s="11"/>
      <c r="M116" s="11"/>
      <c r="N116" s="11"/>
    </row>
    <row r="117" spans="1:14" ht="15.75" x14ac:dyDescent="0.25">
      <c r="A117" s="2">
        <v>115</v>
      </c>
      <c r="B117" s="6" t="s">
        <v>125</v>
      </c>
      <c r="C117" s="6" t="s">
        <v>14</v>
      </c>
      <c r="D117" s="7">
        <f>0.585+0.58</f>
        <v>1.165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1:14" ht="15.75" x14ac:dyDescent="0.25">
      <c r="A118" s="2">
        <v>116</v>
      </c>
      <c r="B118" s="6" t="s">
        <v>126</v>
      </c>
      <c r="C118" s="6" t="s">
        <v>38</v>
      </c>
      <c r="D118" s="11"/>
      <c r="E118" s="11">
        <v>1500881</v>
      </c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1:14" ht="15.75" x14ac:dyDescent="0.25">
      <c r="A119" s="2">
        <v>117</v>
      </c>
      <c r="B119" s="6" t="s">
        <v>127</v>
      </c>
      <c r="C119" s="6" t="s">
        <v>38</v>
      </c>
      <c r="D119" s="11"/>
      <c r="E119" s="11">
        <f>2500000+300000</f>
        <v>2800000</v>
      </c>
      <c r="F119" s="11"/>
      <c r="G119" s="11"/>
      <c r="H119" s="11"/>
      <c r="I119" s="11"/>
      <c r="J119" s="11"/>
      <c r="K119" s="11"/>
      <c r="L119" s="11">
        <f>3000000+2500000+350000</f>
        <v>5850000</v>
      </c>
      <c r="M119" s="11"/>
      <c r="N119" s="11"/>
    </row>
    <row r="120" spans="1:14" ht="15.75" x14ac:dyDescent="0.25">
      <c r="A120" s="2">
        <v>118</v>
      </c>
      <c r="B120" s="6" t="s">
        <v>128</v>
      </c>
      <c r="C120" s="6" t="s">
        <v>10</v>
      </c>
      <c r="D120" s="11"/>
      <c r="E120" s="11">
        <v>3</v>
      </c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 ht="15.75" x14ac:dyDescent="0.25">
      <c r="A121" s="2">
        <v>119</v>
      </c>
      <c r="B121" s="6" t="s">
        <v>129</v>
      </c>
      <c r="C121" s="6" t="s">
        <v>38</v>
      </c>
      <c r="D121" s="11"/>
      <c r="E121" s="11"/>
      <c r="F121" s="11"/>
      <c r="G121" s="11"/>
      <c r="H121" s="11"/>
      <c r="I121" s="11"/>
      <c r="J121" s="11"/>
      <c r="K121" s="11"/>
      <c r="L121" s="11">
        <f>3870+4006</f>
        <v>7876</v>
      </c>
      <c r="M121" s="11"/>
      <c r="N121" s="11"/>
    </row>
    <row r="122" spans="1:14" ht="15.75" x14ac:dyDescent="0.25">
      <c r="A122" s="2">
        <v>120</v>
      </c>
      <c r="B122" s="6" t="s">
        <v>130</v>
      </c>
      <c r="C122" s="6" t="s">
        <v>120</v>
      </c>
      <c r="D122" s="11">
        <v>1022</v>
      </c>
      <c r="E122" s="11"/>
      <c r="F122" s="11"/>
      <c r="G122" s="11"/>
      <c r="H122" s="11">
        <v>500000</v>
      </c>
      <c r="I122" s="11"/>
      <c r="J122" s="11"/>
      <c r="K122" s="11"/>
      <c r="L122" s="11"/>
      <c r="M122" s="11"/>
      <c r="N122" s="11"/>
    </row>
    <row r="123" spans="1:14" ht="15.75" x14ac:dyDescent="0.25">
      <c r="A123" s="2">
        <v>121</v>
      </c>
      <c r="B123" s="6" t="s">
        <v>131</v>
      </c>
      <c r="C123" s="6" t="s">
        <v>10</v>
      </c>
      <c r="D123" s="11">
        <v>1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1:14" ht="15.75" x14ac:dyDescent="0.25">
      <c r="A124" s="2">
        <v>122</v>
      </c>
      <c r="B124" s="6" t="s">
        <v>132</v>
      </c>
      <c r="C124" s="6" t="s">
        <v>10</v>
      </c>
      <c r="D124" s="11">
        <v>2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4" ht="15.75" x14ac:dyDescent="0.25">
      <c r="A125" s="2">
        <v>123</v>
      </c>
      <c r="B125" s="6" t="s">
        <v>133</v>
      </c>
      <c r="C125" s="6" t="s">
        <v>10</v>
      </c>
      <c r="D125" s="11">
        <v>40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4" ht="15.75" x14ac:dyDescent="0.25">
      <c r="A126" s="2">
        <v>124</v>
      </c>
      <c r="B126" s="6" t="s">
        <v>134</v>
      </c>
      <c r="C126" s="6" t="s">
        <v>38</v>
      </c>
      <c r="D126" s="11">
        <v>173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 ht="15.75" x14ac:dyDescent="0.25">
      <c r="A127" s="2">
        <v>125</v>
      </c>
      <c r="B127" s="6" t="s">
        <v>135</v>
      </c>
      <c r="C127" s="6" t="s">
        <v>38</v>
      </c>
      <c r="D127" s="11"/>
      <c r="E127" s="11"/>
      <c r="F127" s="11"/>
      <c r="G127" s="11"/>
      <c r="H127" s="11"/>
      <c r="I127" s="11"/>
      <c r="J127" s="11"/>
      <c r="K127" s="11"/>
      <c r="L127" s="11">
        <v>350</v>
      </c>
      <c r="M127" s="11"/>
      <c r="N127" s="11"/>
    </row>
    <row r="128" spans="1:14" ht="15.75" x14ac:dyDescent="0.25">
      <c r="A128" s="2">
        <v>126</v>
      </c>
      <c r="B128" s="6" t="s">
        <v>136</v>
      </c>
      <c r="C128" s="6" t="s">
        <v>10</v>
      </c>
      <c r="D128" s="11"/>
      <c r="E128" s="11">
        <v>1</v>
      </c>
      <c r="F128" s="11"/>
      <c r="G128" s="11"/>
      <c r="H128" s="11"/>
      <c r="I128" s="11"/>
      <c r="J128" s="11"/>
      <c r="K128" s="11"/>
      <c r="L128" s="11"/>
      <c r="M128" s="11"/>
      <c r="N128" s="11"/>
    </row>
  </sheetData>
  <mergeCells count="9">
    <mergeCell ref="A2:A3"/>
    <mergeCell ref="B2:B3"/>
    <mergeCell ref="C2:C3"/>
    <mergeCell ref="D2:E2"/>
    <mergeCell ref="F2:G2"/>
    <mergeCell ref="H2:I2"/>
    <mergeCell ref="J2:K2"/>
    <mergeCell ref="A1:N1"/>
    <mergeCell ref="L2:M2"/>
  </mergeCells>
  <conditionalFormatting sqref="L5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GVFI</dc:creator>
  <cp:lastModifiedBy>ГИВФБ</cp:lastModifiedBy>
  <dcterms:created xsi:type="dcterms:W3CDTF">2024-10-02T05:02:49Z</dcterms:created>
  <dcterms:modified xsi:type="dcterms:W3CDTF">2025-01-23T05:06:26Z</dcterms:modified>
</cp:coreProperties>
</file>